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6180" activeTab="0"/>
  </bookViews>
  <sheets>
    <sheet name="Calculation" sheetId="1" r:id="rId1"/>
    <sheet name="Parameters" sheetId="2" state="hidden" r:id="rId2"/>
  </sheets>
  <definedNames>
    <definedName name="jinit">#N/A</definedName>
    <definedName name="jsolve">#N/A</definedName>
    <definedName name="_xlnm.Print_Area" localSheetId="0">'Calculation'!$A$1:$X$57</definedName>
    <definedName name="solver_adj" localSheetId="0" hidden="1">'Calculation'!$G$19,'Calculation'!$H$19</definedName>
    <definedName name="solver_adj" localSheetId="1" hidden="1">'Parameters'!$G$19,'Parameters'!$H$19</definedName>
    <definedName name="solver_adj" hidden="1">'Calculation'!$G$19,'Calculation'!$H$19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1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'Calculation'!$W$54</definedName>
    <definedName name="solver_opt" localSheetId="1" hidden="1">'Parameters'!$W$54</definedName>
    <definedName name="solver_opt" hidden="1">'Calculation'!$W$54</definedName>
    <definedName name="solver_pre" localSheetId="0" hidden="1">0.0001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<sst xmlns="http://schemas.openxmlformats.org/spreadsheetml/2006/main" count="100" uniqueCount="91">
  <si>
    <t xml:space="preserve">    RR</t>
  </si>
  <si>
    <t xml:space="preserve">  Lower</t>
  </si>
  <si>
    <t xml:space="preserve">  Upper</t>
  </si>
  <si>
    <t xml:space="preserve"> Contrast</t>
  </si>
  <si>
    <t>Vextra</t>
  </si>
  <si>
    <t>-</t>
  </si>
  <si>
    <t>Notes:</t>
  </si>
  <si>
    <t>Base</t>
  </si>
  <si>
    <t>Comp.</t>
  </si>
  <si>
    <t>Ln(Upper):</t>
  </si>
  <si>
    <t>Variance:</t>
  </si>
  <si>
    <t>Ln(Lower):</t>
  </si>
  <si>
    <t>Underlying calculations:</t>
  </si>
  <si>
    <t>Case control</t>
  </si>
  <si>
    <t>Prospective</t>
  </si>
  <si>
    <t>Study type:</t>
  </si>
  <si>
    <t>V(i)</t>
  </si>
  <si>
    <t>Exposure</t>
  </si>
  <si>
    <t>Disease</t>
  </si>
  <si>
    <t xml:space="preserve">Instructions: </t>
  </si>
  <si>
    <t xml:space="preserve">    Note: once 'Solve' has been used, any number of contrasts can be entered in turn.</t>
  </si>
  <si>
    <t>Dose</t>
  </si>
  <si>
    <t>Sum of squares:</t>
  </si>
  <si>
    <t>Chi-sq</t>
  </si>
  <si>
    <t>DF</t>
  </si>
  <si>
    <t>p</t>
  </si>
  <si>
    <t>Hetero:</t>
  </si>
  <si>
    <t>---- Estimated no. ----</t>
  </si>
  <si>
    <t>(a-e)^2/m</t>
  </si>
  <si>
    <t>Contrast:</t>
  </si>
  <si>
    <t>Curr cat:</t>
  </si>
  <si>
    <t>Trend</t>
  </si>
  <si>
    <t>x(a-e)</t>
  </si>
  <si>
    <t>x^2m</t>
  </si>
  <si>
    <t>xm</t>
  </si>
  <si>
    <t>Heterogeneity and trend:</t>
  </si>
  <si>
    <t>Study types:</t>
  </si>
  <si>
    <t>Current type:</t>
  </si>
  <si>
    <t>RRs given by cat:</t>
  </si>
  <si>
    <t>Total subjects included in</t>
  </si>
  <si>
    <t>Analysis parameters</t>
  </si>
  <si>
    <t>Category</t>
  </si>
  <si>
    <t>No (excluding</t>
  </si>
  <si>
    <t>e</t>
  </si>
  <si>
    <t>Col. totals:</t>
  </si>
  <si>
    <t>DF+1</t>
  </si>
  <si>
    <t>Current no. of decimal places:</t>
  </si>
  <si>
    <t>Initial:</t>
  </si>
  <si>
    <t>P</t>
  </si>
  <si>
    <t>Z</t>
  </si>
  <si>
    <t>P'</t>
  </si>
  <si>
    <t>Z'</t>
  </si>
  <si>
    <t>hetero/trend analyses (N):</t>
  </si>
  <si>
    <t>Soln.:</t>
  </si>
  <si>
    <t>Categorised by:</t>
  </si>
  <si>
    <t>Start values</t>
  </si>
  <si>
    <t>Solver Precision:</t>
  </si>
  <si>
    <t>Decimal places:</t>
  </si>
  <si>
    <t>Solver precision values:</t>
  </si>
  <si>
    <t>Value</t>
  </si>
  <si>
    <t>Id</t>
  </si>
  <si>
    <t>Selected Id</t>
  </si>
  <si>
    <t>selected value</t>
  </si>
  <si>
    <t>Row number for</t>
  </si>
  <si>
    <t xml:space="preserve">    This adjusts the first row of that table (Ao and Bo) to give a lowest Sum of Squares value.</t>
  </si>
  <si>
    <r>
      <t xml:space="preserve">2) </t>
    </r>
    <r>
      <rPr>
        <sz val="10"/>
        <rFont val="Arial"/>
        <family val="0"/>
      </rPr>
      <t xml:space="preserve">Enter values/estimates in </t>
    </r>
    <r>
      <rPr>
        <sz val="10"/>
        <rFont val="Arial"/>
        <family val="2"/>
      </rPr>
      <t xml:space="preserve">the </t>
    </r>
    <r>
      <rPr>
        <b/>
        <sz val="10"/>
        <rFont val="Arial"/>
        <family val="2"/>
      </rPr>
      <t>No. of subjects</t>
    </r>
    <r>
      <rPr>
        <sz val="10"/>
        <rFont val="Arial"/>
        <family val="2"/>
      </rPr>
      <t xml:space="preserve"> table</t>
    </r>
    <r>
      <rPr>
        <sz val="10"/>
        <rFont val="Arial"/>
        <family val="0"/>
      </rPr>
      <t>. (P and Z are calculated from these.)</t>
    </r>
  </si>
  <si>
    <r>
      <t xml:space="preserve">4) </t>
    </r>
    <r>
      <rPr>
        <sz val="10"/>
        <rFont val="Arial"/>
        <family val="0"/>
      </rPr>
      <t xml:space="preserve">Press </t>
    </r>
    <r>
      <rPr>
        <b/>
        <sz val="10"/>
        <rFont val="Arial"/>
        <family val="2"/>
      </rPr>
      <t>Solve</t>
    </r>
    <r>
      <rPr>
        <sz val="10"/>
        <rFont val="Arial"/>
        <family val="0"/>
      </rPr>
      <t xml:space="preserve"> to generate the table of </t>
    </r>
    <r>
      <rPr>
        <b/>
        <sz val="10"/>
        <rFont val="Arial"/>
        <family val="2"/>
      </rPr>
      <t>Estimated nos.</t>
    </r>
    <r>
      <rPr>
        <sz val="10"/>
        <rFont val="Arial"/>
        <family val="0"/>
      </rPr>
      <t xml:space="preserve"> of subjects in each category.</t>
    </r>
  </si>
  <si>
    <t xml:space="preserve">    To change Start values, click Tools:Protection:Unprotect Sheet; then overwrite the values in G16, H16.</t>
  </si>
  <si>
    <t xml:space="preserve">    See the documentation for the meanings of P and Z; and for details of the Sum of Squares calculations.</t>
  </si>
  <si>
    <t>Heading</t>
  </si>
  <si>
    <r>
      <t>9)</t>
    </r>
    <r>
      <rPr>
        <sz val="10"/>
        <rFont val="Arial"/>
        <family val="0"/>
      </rPr>
      <t xml:space="preserve"> If </t>
    </r>
    <r>
      <rPr>
        <b/>
        <sz val="10"/>
        <rFont val="Arial"/>
        <family val="2"/>
      </rPr>
      <t>Solve</t>
    </r>
    <r>
      <rPr>
        <sz val="10"/>
        <rFont val="Arial"/>
        <family val="0"/>
      </rPr>
      <t xml:space="preserve"> finds no "feasible solution", 1) check data entered, 2) change Precision setting or Start values.</t>
    </r>
  </si>
  <si>
    <t>Heterogeneity</t>
  </si>
  <si>
    <t xml:space="preserve">RR (95% CI) </t>
  </si>
  <si>
    <t>Results for the specified contrast:</t>
  </si>
  <si>
    <t>No. of subjects</t>
  </si>
  <si>
    <t>Total</t>
  </si>
  <si>
    <t>contrast = -1)</t>
  </si>
  <si>
    <t xml:space="preserve">    NB: for a prospective study categorised by disease, Ao and Bo are always the baseline.</t>
  </si>
  <si>
    <r>
      <t>6)</t>
    </r>
    <r>
      <rPr>
        <sz val="10"/>
        <rFont val="Arial"/>
        <family val="0"/>
      </rPr>
      <t xml:space="preserve"> Enter each required </t>
    </r>
    <r>
      <rPr>
        <b/>
        <sz val="10"/>
        <rFont val="Arial"/>
        <family val="2"/>
      </rPr>
      <t>Contrast</t>
    </r>
    <r>
      <rPr>
        <sz val="10"/>
        <rFont val="Arial"/>
        <family val="0"/>
      </rPr>
      <t xml:space="preserve"> in turn: 0 for baseline, 1 for comparison, -1 to exclude the category.</t>
    </r>
  </si>
  <si>
    <r>
      <t>7)</t>
    </r>
    <r>
      <rPr>
        <sz val="10"/>
        <rFont val="Arial"/>
        <family val="0"/>
      </rPr>
      <t xml:space="preserve"> The </t>
    </r>
    <r>
      <rPr>
        <b/>
        <sz val="10"/>
        <rFont val="Arial"/>
        <family val="2"/>
      </rPr>
      <t>Results: RR (95% CI)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Heterogeneity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Trend</t>
    </r>
    <r>
      <rPr>
        <sz val="10"/>
        <rFont val="Arial"/>
        <family val="0"/>
      </rPr>
      <t xml:space="preserve"> exclude categories with -1 in Contrast.</t>
    </r>
  </si>
  <si>
    <r>
      <t>8)</t>
    </r>
    <r>
      <rPr>
        <sz val="10"/>
        <rFont val="Arial"/>
        <family val="0"/>
      </rPr>
      <t xml:space="preserve"> Enter </t>
    </r>
    <r>
      <rPr>
        <b/>
        <sz val="10"/>
        <rFont val="Arial"/>
        <family val="2"/>
      </rPr>
      <t>Heading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Notes</t>
    </r>
    <r>
      <rPr>
        <sz val="10"/>
        <rFont val="Arial"/>
        <family val="0"/>
      </rPr>
      <t xml:space="preserve"> to describe the study, contrast etc. The spreadsheet can be saved to a file.</t>
    </r>
  </si>
  <si>
    <r>
      <t>5)</t>
    </r>
    <r>
      <rPr>
        <sz val="10"/>
        <rFont val="Arial"/>
        <family val="2"/>
      </rPr>
      <t xml:space="preserve"> Enter </t>
    </r>
    <r>
      <rPr>
        <b/>
        <sz val="10"/>
        <rFont val="Arial"/>
        <family val="2"/>
      </rPr>
      <t>Dose</t>
    </r>
    <r>
      <rPr>
        <sz val="10"/>
        <rFont val="Arial"/>
        <family val="2"/>
      </rPr>
      <t xml:space="preserve"> values for the trend test.  These should be proportional to exposure.</t>
    </r>
  </si>
  <si>
    <r>
      <t>1)</t>
    </r>
    <r>
      <rPr>
        <sz val="10"/>
        <rFont val="Arial"/>
        <family val="2"/>
      </rPr>
      <t xml:space="preserve"> Select </t>
    </r>
    <r>
      <rPr>
        <b/>
        <sz val="10"/>
        <rFont val="Arial"/>
        <family val="2"/>
      </rPr>
      <t>Study type</t>
    </r>
    <r>
      <rPr>
        <sz val="10"/>
        <rFont val="Arial"/>
        <family val="2"/>
      </rPr>
      <t xml:space="preserve"> (case control or prospective)</t>
    </r>
  </si>
  <si>
    <r>
      <t xml:space="preserve">    and </t>
    </r>
    <r>
      <rPr>
        <b/>
        <sz val="10"/>
        <rFont val="Arial"/>
        <family val="2"/>
      </rPr>
      <t>Categorised by</t>
    </r>
    <r>
      <rPr>
        <sz val="10"/>
        <rFont val="Arial"/>
        <family val="0"/>
      </rPr>
      <t xml:space="preserve"> (exposure or disease).</t>
    </r>
  </si>
  <si>
    <r>
      <t>3)</t>
    </r>
    <r>
      <rPr>
        <sz val="10"/>
        <rFont val="Arial"/>
        <family val="0"/>
      </rPr>
      <t xml:space="preserve"> Enter </t>
    </r>
    <r>
      <rPr>
        <b/>
        <sz val="10"/>
        <rFont val="Arial"/>
        <family val="2"/>
      </rPr>
      <t xml:space="preserve">RR, Lower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 xml:space="preserve">Upper </t>
    </r>
    <r>
      <rPr>
        <sz val="10"/>
        <rFont val="Arial"/>
        <family val="2"/>
      </rPr>
      <t xml:space="preserve">(95% CI) </t>
    </r>
    <r>
      <rPr>
        <sz val="10"/>
        <rFont val="Arial"/>
        <family val="0"/>
      </rPr>
      <t>for each category.  Category descriptions can also be entered.</t>
    </r>
  </si>
  <si>
    <t>Occ</t>
  </si>
  <si>
    <t>Reg, work/home</t>
  </si>
  <si>
    <t>Reg, work + home</t>
  </si>
  <si>
    <t>T:\Jan\RRest\RREst9.xls</t>
  </si>
  <si>
    <t>Release date: 21 March 2012</t>
  </si>
  <si>
    <t>Version 10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</si>
</sst>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00"/>
    <numFmt numFmtId="173" formatCode="0.000000000"/>
    <numFmt numFmtId="174" formatCode="0.00000"/>
    <numFmt numFmtId="175" formatCode="0.000"/>
    <numFmt numFmtId="176" formatCode="0.0"/>
    <numFmt numFmtId="177" formatCode="0.000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medium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6" fontId="0" fillId="2" borderId="0">
      <alignment/>
      <protection/>
    </xf>
    <xf numFmtId="164" fontId="0" fillId="2" borderId="0">
      <alignment/>
      <protection/>
    </xf>
    <xf numFmtId="0" fontId="0" fillId="2" borderId="0">
      <alignment/>
      <protection/>
    </xf>
    <xf numFmtId="0" fontId="28" fillId="0" borderId="0" applyNumberFormat="0" applyFill="0" applyBorder="0" applyAlignment="0" applyProtection="0"/>
    <xf numFmtId="2" fontId="0" fillId="2" borderId="0">
      <alignment/>
      <protection/>
    </xf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2" borderId="0">
      <alignment/>
      <protection/>
    </xf>
    <xf numFmtId="0" fontId="35" fillId="0" borderId="0" applyNumberFormat="0" applyFill="0" applyBorder="0" applyAlignment="0" applyProtection="0"/>
    <xf numFmtId="0" fontId="0" fillId="2" borderId="7">
      <alignment/>
      <protection/>
    </xf>
    <xf numFmtId="0" fontId="36" fillId="0" borderId="0" applyNumberFormat="0" applyFill="0" applyBorder="0" applyAlignment="0" applyProtection="0"/>
  </cellStyleXfs>
  <cellXfs count="108">
    <xf numFmtId="0" fontId="0" fillId="2" borderId="0" xfId="0" applyFill="1" applyAlignment="1">
      <alignment/>
    </xf>
    <xf numFmtId="0" fontId="4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13" xfId="0" applyFill="1" applyBorder="1" applyAlignment="1">
      <alignment/>
    </xf>
    <xf numFmtId="15" fontId="5" fillId="2" borderId="8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0" fillId="33" borderId="8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right"/>
      <protection/>
    </xf>
    <xf numFmtId="0" fontId="5" fillId="33" borderId="8" xfId="0" applyFont="1" applyFill="1" applyBorder="1" applyAlignment="1" applyProtection="1">
      <alignment/>
      <protection locked="0"/>
    </xf>
    <xf numFmtId="0" fontId="0" fillId="33" borderId="8" xfId="0" applyFill="1" applyBorder="1" applyAlignment="1" applyProtection="1">
      <alignment horizontal="right"/>
      <protection locked="0"/>
    </xf>
    <xf numFmtId="0" fontId="0" fillId="2" borderId="17" xfId="0" applyFill="1" applyBorder="1" applyAlignment="1">
      <alignment horizontal="right"/>
    </xf>
    <xf numFmtId="0" fontId="5" fillId="2" borderId="8" xfId="0" applyFont="1" applyFill="1" applyBorder="1" applyAlignment="1">
      <alignment/>
    </xf>
    <xf numFmtId="0" fontId="0" fillId="33" borderId="8" xfId="0" applyFill="1" applyBorder="1" applyAlignment="1" applyProtection="1">
      <alignment/>
      <protection locked="0"/>
    </xf>
    <xf numFmtId="0" fontId="0" fillId="2" borderId="8" xfId="0" applyFont="1" applyFill="1" applyBorder="1" applyAlignment="1">
      <alignment horizontal="right"/>
    </xf>
    <xf numFmtId="0" fontId="5" fillId="2" borderId="8" xfId="0" applyFont="1" applyFill="1" applyBorder="1" applyAlignment="1" quotePrefix="1">
      <alignment/>
    </xf>
    <xf numFmtId="0" fontId="0" fillId="33" borderId="8" xfId="0" applyFill="1" applyBorder="1" applyAlignment="1" applyProtection="1">
      <alignment horizontal="center"/>
      <protection locked="0"/>
    </xf>
    <xf numFmtId="0" fontId="0" fillId="33" borderId="9" xfId="0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0" fillId="2" borderId="18" xfId="0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5" fillId="2" borderId="27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5" fillId="2" borderId="8" xfId="0" applyFont="1" applyFill="1" applyBorder="1" applyAlignment="1">
      <alignment horizontal="right"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7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 horizontal="left"/>
    </xf>
    <xf numFmtId="0" fontId="0" fillId="2" borderId="50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 horizontal="right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4" xfId="0" applyFill="1" applyBorder="1" applyAlignment="1">
      <alignment horizontal="right"/>
    </xf>
    <xf numFmtId="0" fontId="0" fillId="2" borderId="54" xfId="0" applyFill="1" applyBorder="1" applyAlignment="1" applyProtection="1">
      <alignment horizontal="right"/>
      <protection locked="0"/>
    </xf>
    <xf numFmtId="0" fontId="0" fillId="2" borderId="54" xfId="0" applyFill="1" applyBorder="1" applyAlignment="1" applyProtection="1">
      <alignment horizontal="right"/>
      <protection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22" xfId="0" applyFill="1" applyBorder="1" applyAlignment="1">
      <alignment horizontal="right"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 horizontal="right"/>
    </xf>
    <xf numFmtId="0" fontId="0" fillId="2" borderId="63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5" fillId="2" borderId="8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50" xfId="0" applyNumberFormat="1" applyFont="1" applyFill="1" applyBorder="1" applyAlignment="1">
      <alignment horizontal="right"/>
    </xf>
    <xf numFmtId="0" fontId="0" fillId="2" borderId="5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2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0" fillId="2" borderId="64" xfId="0" applyFill="1" applyBorder="1" applyAlignment="1">
      <alignment/>
    </xf>
    <xf numFmtId="177" fontId="0" fillId="2" borderId="21" xfId="0" applyNumberFormat="1" applyFill="1" applyBorder="1" applyAlignment="1">
      <alignment/>
    </xf>
    <xf numFmtId="177" fontId="0" fillId="2" borderId="65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177" fontId="0" fillId="2" borderId="66" xfId="0" applyNumberFormat="1" applyFill="1" applyBorder="1" applyAlignment="1">
      <alignment/>
    </xf>
    <xf numFmtId="0" fontId="0" fillId="33" borderId="8" xfId="0" applyFont="1" applyFill="1" applyBorder="1" applyAlignment="1" applyProtection="1">
      <alignment/>
      <protection locked="0"/>
    </xf>
    <xf numFmtId="0" fontId="0" fillId="33" borderId="8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>
      <alignment/>
    </xf>
    <xf numFmtId="0" fontId="0" fillId="0" borderId="8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2" customWidth="1"/>
    <col min="2" max="2" width="13.7109375" style="2" customWidth="1"/>
    <col min="3" max="8" width="9.7109375" style="2" customWidth="1"/>
    <col min="9" max="9" width="2.7109375" style="2" customWidth="1"/>
    <col min="10" max="10" width="9.7109375" style="2" customWidth="1"/>
    <col min="11" max="18" width="5.8515625" style="2" customWidth="1"/>
    <col min="19" max="19" width="4.7109375" style="2" customWidth="1"/>
    <col min="20" max="24" width="5.8515625" style="2" customWidth="1"/>
    <col min="25" max="16384" width="9.140625" style="2" customWidth="1"/>
  </cols>
  <sheetData>
    <row r="1" spans="1:24" ht="12.75">
      <c r="A1" s="17" t="s">
        <v>69</v>
      </c>
      <c r="B1" s="14"/>
      <c r="C1" s="14"/>
      <c r="D1" s="14"/>
      <c r="E1" s="14"/>
      <c r="F1" s="14"/>
      <c r="G1" s="2" t="str">
        <f ca="1">TEXT(TODAY(),"          dd-mmm-yyyy")</f>
        <v>          21-Mar-2012</v>
      </c>
      <c r="J1" s="3" t="s">
        <v>19</v>
      </c>
      <c r="S1" s="106" t="s">
        <v>88</v>
      </c>
      <c r="T1" s="107"/>
      <c r="U1" s="107"/>
      <c r="V1" s="107"/>
      <c r="W1" s="106" t="s">
        <v>90</v>
      </c>
      <c r="X1" s="107"/>
    </row>
    <row r="2" spans="1:24" ht="12.75">
      <c r="A2" s="14"/>
      <c r="B2" s="14"/>
      <c r="C2" s="14"/>
      <c r="D2" s="14"/>
      <c r="E2" s="14"/>
      <c r="F2" s="14"/>
      <c r="J2" s="3" t="s">
        <v>82</v>
      </c>
      <c r="S2" s="106" t="s">
        <v>89</v>
      </c>
      <c r="T2" s="107"/>
      <c r="U2" s="107"/>
      <c r="V2" s="107"/>
      <c r="W2" s="107"/>
      <c r="X2" s="107"/>
    </row>
    <row r="3" spans="1:10" ht="13.5" thickBot="1">
      <c r="A3" s="98" t="s">
        <v>73</v>
      </c>
      <c r="J3" s="2" t="s">
        <v>83</v>
      </c>
    </row>
    <row r="4" spans="1:10" ht="12.75">
      <c r="A4" s="99"/>
      <c r="B4" s="11" t="s">
        <v>0</v>
      </c>
      <c r="C4" s="11" t="s">
        <v>1</v>
      </c>
      <c r="D4" s="12" t="s">
        <v>2</v>
      </c>
      <c r="F4" s="19" t="s">
        <v>57</v>
      </c>
      <c r="G4" s="2">
        <v>4</v>
      </c>
      <c r="J4" s="3" t="s">
        <v>65</v>
      </c>
    </row>
    <row r="5" spans="1:19" ht="13.5" thickBot="1">
      <c r="A5" s="13" t="s">
        <v>72</v>
      </c>
      <c r="B5" s="100">
        <f>IF(OR(N55=1,S55=1),N51*O51/(P51*M51),N51*H19/(P51*G19))</f>
        <v>2.339548451339301</v>
      </c>
      <c r="C5" s="100">
        <f>EXP(K55)</f>
        <v>1.4604051161527465</v>
      </c>
      <c r="D5" s="101">
        <f>EXP(K56)</f>
        <v>3.747923706665266</v>
      </c>
      <c r="E5" s="5"/>
      <c r="J5" s="3" t="s">
        <v>84</v>
      </c>
      <c r="S5" s="6"/>
    </row>
    <row r="6" spans="1:20" ht="12.75">
      <c r="A6" s="28"/>
      <c r="B6" s="27" t="s">
        <v>23</v>
      </c>
      <c r="C6" s="27" t="s">
        <v>24</v>
      </c>
      <c r="D6" s="29" t="s">
        <v>25</v>
      </c>
      <c r="F6" s="90" t="s">
        <v>56</v>
      </c>
      <c r="I6" s="6"/>
      <c r="J6" s="3" t="s">
        <v>66</v>
      </c>
      <c r="Q6" s="4"/>
      <c r="R6" s="4"/>
      <c r="T6" s="5"/>
    </row>
    <row r="7" spans="1:19" ht="12.75">
      <c r="A7" s="30" t="s">
        <v>71</v>
      </c>
      <c r="B7" s="102">
        <f>(X53-1)*(1/W51+1/X51)*R51</f>
        <v>-81.85901042884964</v>
      </c>
      <c r="C7" s="2">
        <f>S51-1</f>
        <v>3</v>
      </c>
      <c r="D7" s="103" t="e">
        <f>CHIDIST(B7,C7)</f>
        <v>#NUM!</v>
      </c>
      <c r="E7" s="5"/>
      <c r="J7" s="2" t="s">
        <v>64</v>
      </c>
      <c r="S7" s="7"/>
    </row>
    <row r="8" spans="1:10" ht="13.5" thickBot="1">
      <c r="A8" s="13" t="s">
        <v>31</v>
      </c>
      <c r="B8" s="100">
        <f>((X53^2)*(X53-1)*T51^2)/(W51*X51*(X53*U51-(V51^2)))</f>
        <v>-84.99793173410026</v>
      </c>
      <c r="C8" s="31">
        <v>1</v>
      </c>
      <c r="D8" s="101" t="e">
        <f>CHIDIST(B8,C8)</f>
        <v>#NUM!</v>
      </c>
      <c r="E8" s="5"/>
      <c r="J8" s="3" t="s">
        <v>81</v>
      </c>
    </row>
    <row r="9" spans="1:10" ht="12.75">
      <c r="A9" s="7"/>
      <c r="B9" s="7"/>
      <c r="C9" s="7"/>
      <c r="D9" s="7"/>
      <c r="J9" s="3" t="s">
        <v>78</v>
      </c>
    </row>
    <row r="10" spans="4:10" ht="12.75">
      <c r="D10" s="15"/>
      <c r="J10" s="2" t="s">
        <v>20</v>
      </c>
    </row>
    <row r="11" spans="1:10" ht="12.75">
      <c r="A11" s="3" t="s">
        <v>40</v>
      </c>
      <c r="C11" s="8" t="s">
        <v>15</v>
      </c>
      <c r="G11" s="8" t="s">
        <v>54</v>
      </c>
      <c r="J11" s="2" t="s">
        <v>77</v>
      </c>
    </row>
    <row r="12" ht="12.75">
      <c r="J12" s="3" t="s">
        <v>79</v>
      </c>
    </row>
    <row r="13" spans="2:10" ht="12.75">
      <c r="B13" s="56" t="s">
        <v>74</v>
      </c>
      <c r="C13" s="8" t="str">
        <f>IF(S55=1,"Cases","Exposed")</f>
        <v>Cases</v>
      </c>
      <c r="D13" s="22" t="str">
        <f>IF(S55=1,IF($N$55=1,"Controls","At Risk"),"Unexposed")</f>
        <v>Controls</v>
      </c>
      <c r="G13" s="2" t="s">
        <v>55</v>
      </c>
      <c r="J13" s="3" t="s">
        <v>80</v>
      </c>
    </row>
    <row r="14" spans="1:19" ht="12.75">
      <c r="A14" s="8"/>
      <c r="B14" s="8" t="str">
        <f>IF(S55=1,"Unexposed",IF($N$55=1,"Controls","At Risk"))</f>
        <v>Unexposed</v>
      </c>
      <c r="C14" s="14">
        <v>18</v>
      </c>
      <c r="D14" s="14">
        <v>129157</v>
      </c>
      <c r="G14" s="2" t="str">
        <f>IF(S55=1,"   for nos.of unexposed",IF(N55=1,"   for nos.of controls","   for nos.of at-risk"))</f>
        <v>   for nos.of unexposed</v>
      </c>
      <c r="J14" s="3" t="s">
        <v>70</v>
      </c>
      <c r="S14" s="1"/>
    </row>
    <row r="15" spans="1:10" ht="12.75">
      <c r="A15" s="8"/>
      <c r="B15" s="8" t="str">
        <f>IF(S55=1,"All Exposed","All Cases")</f>
        <v>All Exposed</v>
      </c>
      <c r="C15" s="18">
        <v>112</v>
      </c>
      <c r="D15" s="14">
        <v>631728</v>
      </c>
      <c r="G15" s="96" t="str">
        <f>IF(S55=1,"Cases","Exposed")</f>
        <v>Cases</v>
      </c>
      <c r="H15" s="96" t="str">
        <f>IF(S55=1,IF(N55=1,"Controls","At risk"),"Unexposed")</f>
        <v>Controls</v>
      </c>
      <c r="J15" s="2" t="s">
        <v>67</v>
      </c>
    </row>
    <row r="16" spans="1:10" ht="12.75">
      <c r="A16" s="8"/>
      <c r="B16" s="8" t="s">
        <v>75</v>
      </c>
      <c r="C16" s="15">
        <f>SUM(C14:C15)</f>
        <v>130</v>
      </c>
      <c r="D16" s="15">
        <f>SUM(D14:D15)</f>
        <v>760885</v>
      </c>
      <c r="G16" s="2">
        <f>C14</f>
        <v>18</v>
      </c>
      <c r="H16" s="2">
        <f>D14</f>
        <v>129157</v>
      </c>
      <c r="J16" s="2" t="s">
        <v>68</v>
      </c>
    </row>
    <row r="17" spans="1:24" ht="13.5" thickBot="1">
      <c r="A17" s="10"/>
      <c r="B17" s="3"/>
      <c r="C17" s="3"/>
      <c r="D17" s="3"/>
      <c r="E17" s="3"/>
      <c r="G17" s="23" t="s">
        <v>27</v>
      </c>
      <c r="H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5" ht="12.75">
      <c r="A18" s="20" t="s">
        <v>41</v>
      </c>
      <c r="B18" s="3" t="s">
        <v>0</v>
      </c>
      <c r="C18" s="3" t="s">
        <v>1</v>
      </c>
      <c r="D18" s="3" t="s">
        <v>2</v>
      </c>
      <c r="E18" s="3" t="s">
        <v>3</v>
      </c>
      <c r="F18" s="26" t="s">
        <v>21</v>
      </c>
      <c r="G18" s="26" t="str">
        <f>IF(S55=1,"Cases","Exposed")</f>
        <v>Cases</v>
      </c>
      <c r="H18" s="26" t="str">
        <f>IF(S55=1,IF(N55=1,"Controls","At Risk"),"Unexposed")</f>
        <v>Controls</v>
      </c>
      <c r="I18" s="4"/>
      <c r="J18" s="42" t="s">
        <v>12</v>
      </c>
      <c r="K18" s="32"/>
      <c r="L18" s="33"/>
      <c r="M18" s="37" t="s">
        <v>29</v>
      </c>
      <c r="N18" s="32"/>
      <c r="O18" s="33"/>
      <c r="P18" s="33"/>
      <c r="Q18" s="61" t="s">
        <v>35</v>
      </c>
      <c r="R18" s="60"/>
      <c r="S18" s="32"/>
      <c r="T18" s="32"/>
      <c r="U18" s="32"/>
      <c r="V18" s="32"/>
      <c r="W18" s="32" t="s">
        <v>42</v>
      </c>
      <c r="X18" s="46"/>
      <c r="Y18" s="5"/>
    </row>
    <row r="19" spans="1:25" ht="12.75">
      <c r="A19" s="21" t="str">
        <f>IF(S55=1,"Unexposed",IF(N55=1,"Controls","At risk"))</f>
        <v>Unexposed</v>
      </c>
      <c r="B19" s="15">
        <v>1</v>
      </c>
      <c r="C19" s="16" t="s">
        <v>5</v>
      </c>
      <c r="D19" s="16" t="s">
        <v>5</v>
      </c>
      <c r="E19" s="24">
        <v>0</v>
      </c>
      <c r="F19" s="24">
        <v>1</v>
      </c>
      <c r="G19" s="15">
        <v>18.54400526375875</v>
      </c>
      <c r="H19" s="15">
        <v>129157.00000260364</v>
      </c>
      <c r="I19" s="4"/>
      <c r="J19" s="38"/>
      <c r="K19" s="2" t="s">
        <v>10</v>
      </c>
      <c r="L19" s="4"/>
      <c r="M19" s="38" t="s">
        <v>7</v>
      </c>
      <c r="N19" s="4" t="s">
        <v>8</v>
      </c>
      <c r="O19" s="2" t="s">
        <v>7</v>
      </c>
      <c r="P19" s="4" t="s">
        <v>8</v>
      </c>
      <c r="Q19" s="38"/>
      <c r="R19" s="5" t="s">
        <v>26</v>
      </c>
      <c r="S19" s="2" t="s">
        <v>45</v>
      </c>
      <c r="T19" s="2" t="s">
        <v>31</v>
      </c>
      <c r="W19" s="2" t="s">
        <v>76</v>
      </c>
      <c r="X19" s="47"/>
      <c r="Y19" s="5"/>
    </row>
    <row r="20" spans="1:25" ht="13.5" thickBot="1">
      <c r="A20" s="104" t="s">
        <v>85</v>
      </c>
      <c r="B20" s="14">
        <v>0.81</v>
      </c>
      <c r="C20" s="14">
        <v>0.52</v>
      </c>
      <c r="D20" s="14">
        <v>1.26</v>
      </c>
      <c r="E20" s="24">
        <v>1</v>
      </c>
      <c r="F20" s="24">
        <v>2</v>
      </c>
      <c r="G20" s="15">
        <f aca="true" t="shared" si="0" ref="G20:G48">IF(B20&gt;0,IF($N$55=1,(1+($G$19*B20/$H$19))/L22,IF($S$55=1,(1-($G$19*B20/$H$19))/L22,(1+($G$19*B20/$H$19))/L22)),0)</f>
        <v>-337.9738398909943</v>
      </c>
      <c r="H20" s="15">
        <f aca="true" t="shared" si="1" ref="H20:H48">IF(B20&gt;0,IF($N$55=1,(1+$H$19/($G$19*B20))/L22,IF($S$55=1,(-1+$H$19/($G$19*B20))/L22,(1+$H$19/($G$19*B20))/L22)),0)</f>
        <v>-2906112.845328083</v>
      </c>
      <c r="I20" s="4"/>
      <c r="J20" s="43" t="s">
        <v>41</v>
      </c>
      <c r="K20" s="34" t="s">
        <v>16</v>
      </c>
      <c r="L20" s="35" t="s">
        <v>4</v>
      </c>
      <c r="M20" s="39" t="str">
        <f>IF(S55=1,"cases","exposed")</f>
        <v>cases</v>
      </c>
      <c r="N20" s="35" t="str">
        <f>IF(S55=1,"cases","exposed")</f>
        <v>cases</v>
      </c>
      <c r="O20" s="34" t="str">
        <f>IF(S55=1,IF(N55=1,"cntrls","at risk"),"unexp")</f>
        <v>cntrls</v>
      </c>
      <c r="P20" s="35" t="str">
        <f>IF(S55=1,IF(N55=1,"cntrls","at risk"),"unexp")</f>
        <v>cntrls</v>
      </c>
      <c r="Q20" s="39" t="s">
        <v>43</v>
      </c>
      <c r="R20" s="57" t="s">
        <v>28</v>
      </c>
      <c r="S20" s="34"/>
      <c r="T20" s="34" t="s">
        <v>32</v>
      </c>
      <c r="U20" s="34" t="s">
        <v>33</v>
      </c>
      <c r="V20" s="34" t="s">
        <v>34</v>
      </c>
      <c r="W20" s="34" t="str">
        <f>IF(S55=1,IF(N55=1,"cases","deaths"),"exposed")</f>
        <v>cases</v>
      </c>
      <c r="X20" s="48" t="str">
        <f>IF(S55=1,IF(N55=1,"cntrls","alive"),"unexp")</f>
        <v>cntrls</v>
      </c>
      <c r="Y20" s="5"/>
    </row>
    <row r="21" spans="1:25" ht="12.75">
      <c r="A21" s="105" t="s">
        <v>86</v>
      </c>
      <c r="B21" s="14">
        <v>1.13</v>
      </c>
      <c r="C21" s="14">
        <v>0.71</v>
      </c>
      <c r="D21" s="14">
        <v>1.79</v>
      </c>
      <c r="E21" s="25">
        <v>1</v>
      </c>
      <c r="F21" s="24">
        <v>3</v>
      </c>
      <c r="G21" s="15">
        <f t="shared" si="0"/>
        <v>583.9925949076143</v>
      </c>
      <c r="H21" s="15">
        <f t="shared" si="1"/>
        <v>3599509.331165063</v>
      </c>
      <c r="I21" s="4"/>
      <c r="J21" s="44" t="str">
        <f>IF(AND(N55=2,S55=2),"At risk/Alive",A19)</f>
        <v>Unexposed</v>
      </c>
      <c r="K21" s="7"/>
      <c r="L21" s="36"/>
      <c r="M21" s="40">
        <f aca="true" t="shared" si="2" ref="M21:M50">IF(E19=0,G19,0)</f>
        <v>18.54400526375875</v>
      </c>
      <c r="N21" s="7">
        <f aca="true" t="shared" si="3" ref="N21:N50">IF(E19=1,G19,0)</f>
        <v>0</v>
      </c>
      <c r="O21" s="7">
        <f aca="true" t="shared" si="4" ref="O21:O50">IF(E19=0,H19,0)</f>
        <v>129157.00000260364</v>
      </c>
      <c r="P21" s="36">
        <f aca="true" t="shared" si="5" ref="P21:P50">IF(E19=1,H19,0)</f>
        <v>0</v>
      </c>
      <c r="Q21" s="40">
        <f>(W21+X21)*$W$51/$X$53</f>
        <v>39.805297987083634</v>
      </c>
      <c r="R21" s="58">
        <f>IF((W21+X21)=0,0,((W21-Q21)^2)/(W21+X21))</f>
        <v>0.003499443890395973</v>
      </c>
      <c r="S21" s="7">
        <f>IF(Q21=0,0,1)</f>
        <v>1</v>
      </c>
      <c r="T21" s="7">
        <f>F19*(W21-Q21)</f>
        <v>-21.261292723324885</v>
      </c>
      <c r="U21" s="7">
        <f>(F19^2)*(W21+X21)</f>
        <v>129175.5440078674</v>
      </c>
      <c r="V21" s="7">
        <f>F19*(W21+X21)</f>
        <v>129175.5440078674</v>
      </c>
      <c r="W21" s="7">
        <f>IF(OR(E19=-1,G19+H19=0),0,IF(AND(N55=2,S55=2),G19-SUM(G20:G48),G19))</f>
        <v>18.54400526375875</v>
      </c>
      <c r="X21" s="49">
        <f>IF(OR(E19=-1,G19+H19=0),0,IF($N$55=1,H19,IF($S$55=1,H19-G19,H19-SUM(H20:H48))))</f>
        <v>129157.00000260364</v>
      </c>
      <c r="Y21" s="5"/>
    </row>
    <row r="22" spans="1:25" ht="12.75">
      <c r="A22" s="105" t="s">
        <v>87</v>
      </c>
      <c r="B22" s="14">
        <v>1.13</v>
      </c>
      <c r="C22" s="14">
        <v>0.55</v>
      </c>
      <c r="D22" s="14">
        <v>2.33</v>
      </c>
      <c r="E22" s="25">
        <v>1</v>
      </c>
      <c r="F22" s="24">
        <v>4</v>
      </c>
      <c r="G22" s="15">
        <f t="shared" si="0"/>
        <v>12.241050361741774</v>
      </c>
      <c r="H22" s="15">
        <f t="shared" si="1"/>
        <v>75449.20155592285</v>
      </c>
      <c r="I22" s="4"/>
      <c r="J22" s="45" t="str">
        <f aca="true" t="shared" si="6" ref="J22:J50">A20</f>
        <v>Occ</v>
      </c>
      <c r="K22" s="2">
        <f aca="true" t="shared" si="7" ref="K22:K50">IF(B20&gt;0,((LN(D20/C20))/3.92)^2,0)</f>
        <v>0.05097437232359832</v>
      </c>
      <c r="L22" s="4">
        <f>IF(B20&gt;0,IF($N$55=1,+K22-(1/$G$19)-(1/$H$19),IF($S$55=1,+K22-(1/$G$19)+(1/$H$19),+K22+(1/$G$19)+(1/$H$19))),0)</f>
        <v>-0.00295915298617472</v>
      </c>
      <c r="M22" s="38">
        <f t="shared" si="2"/>
        <v>0</v>
      </c>
      <c r="N22" s="2">
        <f t="shared" si="3"/>
        <v>-337.9738398909943</v>
      </c>
      <c r="O22" s="2">
        <f t="shared" si="4"/>
        <v>0</v>
      </c>
      <c r="P22" s="4">
        <f t="shared" si="5"/>
        <v>-2906112.845328083</v>
      </c>
      <c r="Q22" s="40">
        <f aca="true" t="shared" si="8" ref="Q22:Q50">(W22+X22)*$W$51/$X$53</f>
        <v>-895.6195371992267</v>
      </c>
      <c r="R22" s="58">
        <f aca="true" t="shared" si="9" ref="R22:R50">IF((W22+X22)=0,0,((W22-Q22)^2)/(W22+X22))</f>
        <v>-0.10699259787076161</v>
      </c>
      <c r="S22" s="7">
        <f aca="true" t="shared" si="10" ref="S22:S50">IF(Q22=0,0,1)</f>
        <v>1</v>
      </c>
      <c r="T22" s="7">
        <f aca="true" t="shared" si="11" ref="T22:T50">F20*(W22-Q22)</f>
        <v>1115.2913946164647</v>
      </c>
      <c r="U22" s="7">
        <f aca="true" t="shared" si="12" ref="U22:U50">(F20^2)*(W22+X22)</f>
        <v>-11625803.276671896</v>
      </c>
      <c r="V22" s="7">
        <f aca="true" t="shared" si="13" ref="V22:V50">F20*(W22+X22)</f>
        <v>-5812901.638335948</v>
      </c>
      <c r="W22" s="7">
        <f>IF(OR(E20=-1,G20+H20=0),0,G20)</f>
        <v>-337.9738398909943</v>
      </c>
      <c r="X22" s="49">
        <f>IF(OR(E20=-1,G20+H20=0),0,IF(AND($N$55=2,$S$55=1),H20-G20,H20))</f>
        <v>-2906112.845328083</v>
      </c>
      <c r="Y22" s="5"/>
    </row>
    <row r="23" spans="1:25" ht="12.75">
      <c r="A23" s="21">
        <v>4</v>
      </c>
      <c r="B23" s="14"/>
      <c r="C23" s="14"/>
      <c r="D23" s="14"/>
      <c r="E23" s="25"/>
      <c r="F23" s="24"/>
      <c r="G23" s="15">
        <f t="shared" si="0"/>
        <v>0</v>
      </c>
      <c r="H23" s="15">
        <f t="shared" si="1"/>
        <v>0</v>
      </c>
      <c r="I23" s="4"/>
      <c r="J23" s="45" t="str">
        <f t="shared" si="6"/>
        <v>Reg, work/home</v>
      </c>
      <c r="K23" s="2">
        <f t="shared" si="7"/>
        <v>0.05564615360506263</v>
      </c>
      <c r="L23" s="4">
        <f aca="true" t="shared" si="14" ref="L23:L50">IF(B21&gt;0,IF($N$55=1,+K23-(1/$G$19)-(1/$H$19),IF($S$55=1,+K23-(1/$G$19)+(1/$H$19),+K23+(1/$G$19)+(1/$H$19))),0)</f>
        <v>0.0017126282952895902</v>
      </c>
      <c r="M23" s="38">
        <f t="shared" si="2"/>
        <v>0</v>
      </c>
      <c r="N23" s="2">
        <f t="shared" si="3"/>
        <v>583.9925949076143</v>
      </c>
      <c r="O23" s="2">
        <f t="shared" si="4"/>
        <v>0</v>
      </c>
      <c r="P23" s="4">
        <f t="shared" si="5"/>
        <v>3599509.331165063</v>
      </c>
      <c r="Q23" s="40">
        <f t="shared" si="8"/>
        <v>1109.364691546011</v>
      </c>
      <c r="R23" s="58">
        <f t="shared" si="9"/>
        <v>0.07666907913319075</v>
      </c>
      <c r="S23" s="7">
        <f t="shared" si="10"/>
        <v>1</v>
      </c>
      <c r="T23" s="7">
        <f t="shared" si="11"/>
        <v>-1576.1162899151905</v>
      </c>
      <c r="U23" s="7">
        <f t="shared" si="12"/>
        <v>32400839.913839735</v>
      </c>
      <c r="V23" s="7">
        <f t="shared" si="13"/>
        <v>10800279.971279912</v>
      </c>
      <c r="W23" s="7">
        <f>IF(OR(E21=-1,G21+H21=0),0,G21)</f>
        <v>583.9925949076143</v>
      </c>
      <c r="X23" s="49">
        <f aca="true" t="shared" si="15" ref="X23:X50">IF(OR(E21=-1,G21+H21=0),0,IF(AND($N$55=2,$S$55=1),H21-G21,H21))</f>
        <v>3599509.331165063</v>
      </c>
      <c r="Y23" s="5"/>
    </row>
    <row r="24" spans="1:25" ht="12.75">
      <c r="A24" s="21">
        <v>5</v>
      </c>
      <c r="B24" s="14"/>
      <c r="C24" s="14"/>
      <c r="D24" s="14"/>
      <c r="E24" s="25"/>
      <c r="F24" s="24"/>
      <c r="G24" s="15">
        <f t="shared" si="0"/>
        <v>0</v>
      </c>
      <c r="H24" s="15">
        <f t="shared" si="1"/>
        <v>0</v>
      </c>
      <c r="I24" s="4"/>
      <c r="J24" s="45" t="str">
        <f t="shared" si="6"/>
        <v>Reg, work + home</v>
      </c>
      <c r="K24" s="2">
        <f t="shared" si="7"/>
        <v>0.13563911533040415</v>
      </c>
      <c r="L24" s="4">
        <f t="shared" si="14"/>
        <v>0.08170559002063112</v>
      </c>
      <c r="M24" s="38">
        <f t="shared" si="2"/>
        <v>0</v>
      </c>
      <c r="N24" s="2">
        <f t="shared" si="3"/>
        <v>12.241050361741774</v>
      </c>
      <c r="O24" s="2">
        <f t="shared" si="4"/>
        <v>0</v>
      </c>
      <c r="P24" s="4">
        <f t="shared" si="5"/>
        <v>75449.20155592285</v>
      </c>
      <c r="Q24" s="40">
        <f t="shared" si="8"/>
        <v>23.253358308252402</v>
      </c>
      <c r="R24" s="58">
        <f t="shared" si="9"/>
        <v>0.0016070581494380474</v>
      </c>
      <c r="S24" s="7">
        <f t="shared" si="10"/>
        <v>1</v>
      </c>
      <c r="T24" s="7">
        <f t="shared" si="11"/>
        <v>-44.04923178604251</v>
      </c>
      <c r="U24" s="7">
        <f t="shared" si="12"/>
        <v>1207383.0817005534</v>
      </c>
      <c r="V24" s="7">
        <f t="shared" si="13"/>
        <v>301845.77042513835</v>
      </c>
      <c r="W24" s="7">
        <f aca="true" t="shared" si="16" ref="W24:W50">IF(OR(E22=-1,G22+H22=0),0,G22)</f>
        <v>12.241050361741774</v>
      </c>
      <c r="X24" s="49">
        <f t="shared" si="15"/>
        <v>75449.20155592285</v>
      </c>
      <c r="Y24" s="5"/>
    </row>
    <row r="25" spans="1:25" ht="12.75">
      <c r="A25" s="21">
        <v>6</v>
      </c>
      <c r="B25" s="14"/>
      <c r="C25" s="14"/>
      <c r="D25" s="14"/>
      <c r="E25" s="25"/>
      <c r="F25" s="24"/>
      <c r="G25" s="15">
        <f t="shared" si="0"/>
        <v>0</v>
      </c>
      <c r="H25" s="15">
        <f t="shared" si="1"/>
        <v>0</v>
      </c>
      <c r="I25" s="36"/>
      <c r="J25" s="45">
        <f t="shared" si="6"/>
        <v>4</v>
      </c>
      <c r="K25" s="2">
        <f t="shared" si="7"/>
        <v>0</v>
      </c>
      <c r="L25" s="4">
        <f t="shared" si="14"/>
        <v>0</v>
      </c>
      <c r="M25" s="38">
        <f t="shared" si="2"/>
        <v>0</v>
      </c>
      <c r="N25" s="2">
        <f t="shared" si="3"/>
        <v>0</v>
      </c>
      <c r="O25" s="2">
        <f t="shared" si="4"/>
        <v>0</v>
      </c>
      <c r="P25" s="4">
        <f t="shared" si="5"/>
        <v>0</v>
      </c>
      <c r="Q25" s="40">
        <f t="shared" si="8"/>
        <v>0</v>
      </c>
      <c r="R25" s="58">
        <f t="shared" si="9"/>
        <v>0</v>
      </c>
      <c r="S25" s="7">
        <f t="shared" si="10"/>
        <v>0</v>
      </c>
      <c r="T25" s="7">
        <f t="shared" si="11"/>
        <v>0</v>
      </c>
      <c r="U25" s="7">
        <f t="shared" si="12"/>
        <v>0</v>
      </c>
      <c r="V25" s="7">
        <f t="shared" si="13"/>
        <v>0</v>
      </c>
      <c r="W25" s="7">
        <f t="shared" si="16"/>
        <v>0</v>
      </c>
      <c r="X25" s="49">
        <f t="shared" si="15"/>
        <v>0</v>
      </c>
      <c r="Y25" s="5"/>
    </row>
    <row r="26" spans="1:25" ht="12.75">
      <c r="A26" s="21">
        <v>7</v>
      </c>
      <c r="B26" s="14"/>
      <c r="C26" s="14"/>
      <c r="D26" s="14"/>
      <c r="E26" s="25"/>
      <c r="F26" s="24"/>
      <c r="G26" s="15">
        <f t="shared" si="0"/>
        <v>0</v>
      </c>
      <c r="H26" s="15">
        <f t="shared" si="1"/>
        <v>0</v>
      </c>
      <c r="I26" s="4"/>
      <c r="J26" s="45">
        <f t="shared" si="6"/>
        <v>5</v>
      </c>
      <c r="K26" s="2">
        <f t="shared" si="7"/>
        <v>0</v>
      </c>
      <c r="L26" s="4">
        <f t="shared" si="14"/>
        <v>0</v>
      </c>
      <c r="M26" s="38">
        <f t="shared" si="2"/>
        <v>0</v>
      </c>
      <c r="N26" s="2">
        <f t="shared" si="3"/>
        <v>0</v>
      </c>
      <c r="O26" s="2">
        <f t="shared" si="4"/>
        <v>0</v>
      </c>
      <c r="P26" s="4">
        <f t="shared" si="5"/>
        <v>0</v>
      </c>
      <c r="Q26" s="40">
        <f t="shared" si="8"/>
        <v>0</v>
      </c>
      <c r="R26" s="58">
        <f t="shared" si="9"/>
        <v>0</v>
      </c>
      <c r="S26" s="7">
        <f t="shared" si="10"/>
        <v>0</v>
      </c>
      <c r="T26" s="7">
        <f t="shared" si="11"/>
        <v>0</v>
      </c>
      <c r="U26" s="7">
        <f t="shared" si="12"/>
        <v>0</v>
      </c>
      <c r="V26" s="7">
        <f t="shared" si="13"/>
        <v>0</v>
      </c>
      <c r="W26" s="7">
        <f t="shared" si="16"/>
        <v>0</v>
      </c>
      <c r="X26" s="49">
        <f t="shared" si="15"/>
        <v>0</v>
      </c>
      <c r="Y26" s="5"/>
    </row>
    <row r="27" spans="1:25" ht="12.75">
      <c r="A27" s="21">
        <v>8</v>
      </c>
      <c r="B27" s="14"/>
      <c r="C27" s="14"/>
      <c r="D27" s="14"/>
      <c r="E27" s="25"/>
      <c r="F27" s="24"/>
      <c r="G27" s="15">
        <f t="shared" si="0"/>
        <v>0</v>
      </c>
      <c r="H27" s="15">
        <f t="shared" si="1"/>
        <v>0</v>
      </c>
      <c r="I27" s="4"/>
      <c r="J27" s="45">
        <f t="shared" si="6"/>
        <v>6</v>
      </c>
      <c r="K27" s="2">
        <f t="shared" si="7"/>
        <v>0</v>
      </c>
      <c r="L27" s="4">
        <f t="shared" si="14"/>
        <v>0</v>
      </c>
      <c r="M27" s="38">
        <f t="shared" si="2"/>
        <v>0</v>
      </c>
      <c r="N27" s="2">
        <f t="shared" si="3"/>
        <v>0</v>
      </c>
      <c r="O27" s="2">
        <f t="shared" si="4"/>
        <v>0</v>
      </c>
      <c r="P27" s="4">
        <f t="shared" si="5"/>
        <v>0</v>
      </c>
      <c r="Q27" s="40">
        <f t="shared" si="8"/>
        <v>0</v>
      </c>
      <c r="R27" s="58">
        <f t="shared" si="9"/>
        <v>0</v>
      </c>
      <c r="S27" s="7">
        <f t="shared" si="10"/>
        <v>0</v>
      </c>
      <c r="T27" s="7">
        <f t="shared" si="11"/>
        <v>0</v>
      </c>
      <c r="U27" s="7">
        <f t="shared" si="12"/>
        <v>0</v>
      </c>
      <c r="V27" s="7">
        <f t="shared" si="13"/>
        <v>0</v>
      </c>
      <c r="W27" s="7">
        <f t="shared" si="16"/>
        <v>0</v>
      </c>
      <c r="X27" s="49">
        <f t="shared" si="15"/>
        <v>0</v>
      </c>
      <c r="Y27" s="5"/>
    </row>
    <row r="28" spans="1:25" ht="12.75">
      <c r="A28" s="21">
        <v>9</v>
      </c>
      <c r="B28" s="14"/>
      <c r="C28" s="14"/>
      <c r="D28" s="14"/>
      <c r="E28" s="25"/>
      <c r="F28" s="24"/>
      <c r="G28" s="15">
        <f t="shared" si="0"/>
        <v>0</v>
      </c>
      <c r="H28" s="15">
        <f t="shared" si="1"/>
        <v>0</v>
      </c>
      <c r="I28" s="4"/>
      <c r="J28" s="45">
        <f t="shared" si="6"/>
        <v>7</v>
      </c>
      <c r="K28" s="2">
        <f t="shared" si="7"/>
        <v>0</v>
      </c>
      <c r="L28" s="4">
        <f t="shared" si="14"/>
        <v>0</v>
      </c>
      <c r="M28" s="38">
        <f t="shared" si="2"/>
        <v>0</v>
      </c>
      <c r="N28" s="2">
        <f t="shared" si="3"/>
        <v>0</v>
      </c>
      <c r="O28" s="2">
        <f t="shared" si="4"/>
        <v>0</v>
      </c>
      <c r="P28" s="4">
        <f t="shared" si="5"/>
        <v>0</v>
      </c>
      <c r="Q28" s="40">
        <f t="shared" si="8"/>
        <v>0</v>
      </c>
      <c r="R28" s="58">
        <f t="shared" si="9"/>
        <v>0</v>
      </c>
      <c r="S28" s="7">
        <f t="shared" si="10"/>
        <v>0</v>
      </c>
      <c r="T28" s="7">
        <f t="shared" si="11"/>
        <v>0</v>
      </c>
      <c r="U28" s="7">
        <f t="shared" si="12"/>
        <v>0</v>
      </c>
      <c r="V28" s="7">
        <f t="shared" si="13"/>
        <v>0</v>
      </c>
      <c r="W28" s="7">
        <f t="shared" si="16"/>
        <v>0</v>
      </c>
      <c r="X28" s="49">
        <f t="shared" si="15"/>
        <v>0</v>
      </c>
      <c r="Y28" s="5"/>
    </row>
    <row r="29" spans="1:25" ht="12.75">
      <c r="A29" s="21">
        <v>10</v>
      </c>
      <c r="B29" s="14"/>
      <c r="C29" s="14"/>
      <c r="D29" s="14"/>
      <c r="E29" s="25"/>
      <c r="F29" s="24"/>
      <c r="G29" s="15">
        <f t="shared" si="0"/>
        <v>0</v>
      </c>
      <c r="H29" s="15">
        <f t="shared" si="1"/>
        <v>0</v>
      </c>
      <c r="I29" s="4"/>
      <c r="J29" s="45">
        <f t="shared" si="6"/>
        <v>8</v>
      </c>
      <c r="K29" s="2">
        <f t="shared" si="7"/>
        <v>0</v>
      </c>
      <c r="L29" s="4">
        <f t="shared" si="14"/>
        <v>0</v>
      </c>
      <c r="M29" s="38">
        <f t="shared" si="2"/>
        <v>0</v>
      </c>
      <c r="N29" s="2">
        <f t="shared" si="3"/>
        <v>0</v>
      </c>
      <c r="O29" s="2">
        <f t="shared" si="4"/>
        <v>0</v>
      </c>
      <c r="P29" s="4">
        <f t="shared" si="5"/>
        <v>0</v>
      </c>
      <c r="Q29" s="40">
        <f t="shared" si="8"/>
        <v>0</v>
      </c>
      <c r="R29" s="58">
        <f t="shared" si="9"/>
        <v>0</v>
      </c>
      <c r="S29" s="7">
        <f t="shared" si="10"/>
        <v>0</v>
      </c>
      <c r="T29" s="7">
        <f t="shared" si="11"/>
        <v>0</v>
      </c>
      <c r="U29" s="7">
        <f t="shared" si="12"/>
        <v>0</v>
      </c>
      <c r="V29" s="7">
        <f t="shared" si="13"/>
        <v>0</v>
      </c>
      <c r="W29" s="7">
        <f t="shared" si="16"/>
        <v>0</v>
      </c>
      <c r="X29" s="49">
        <f t="shared" si="15"/>
        <v>0</v>
      </c>
      <c r="Y29" s="5"/>
    </row>
    <row r="30" spans="1:25" ht="12.75">
      <c r="A30" s="21">
        <v>11</v>
      </c>
      <c r="B30" s="14"/>
      <c r="C30" s="14"/>
      <c r="D30" s="14"/>
      <c r="E30" s="25"/>
      <c r="F30" s="24"/>
      <c r="G30" s="15">
        <f t="shared" si="0"/>
        <v>0</v>
      </c>
      <c r="H30" s="15">
        <f t="shared" si="1"/>
        <v>0</v>
      </c>
      <c r="I30" s="4"/>
      <c r="J30" s="45">
        <f t="shared" si="6"/>
        <v>9</v>
      </c>
      <c r="K30" s="2">
        <f t="shared" si="7"/>
        <v>0</v>
      </c>
      <c r="L30" s="4">
        <f t="shared" si="14"/>
        <v>0</v>
      </c>
      <c r="M30" s="38">
        <f t="shared" si="2"/>
        <v>0</v>
      </c>
      <c r="N30" s="2">
        <f t="shared" si="3"/>
        <v>0</v>
      </c>
      <c r="O30" s="2">
        <f t="shared" si="4"/>
        <v>0</v>
      </c>
      <c r="P30" s="4">
        <f t="shared" si="5"/>
        <v>0</v>
      </c>
      <c r="Q30" s="40">
        <f t="shared" si="8"/>
        <v>0</v>
      </c>
      <c r="R30" s="58">
        <f t="shared" si="9"/>
        <v>0</v>
      </c>
      <c r="S30" s="7">
        <f t="shared" si="10"/>
        <v>0</v>
      </c>
      <c r="T30" s="7">
        <f t="shared" si="11"/>
        <v>0</v>
      </c>
      <c r="U30" s="7">
        <f t="shared" si="12"/>
        <v>0</v>
      </c>
      <c r="V30" s="7">
        <f t="shared" si="13"/>
        <v>0</v>
      </c>
      <c r="W30" s="7">
        <f t="shared" si="16"/>
        <v>0</v>
      </c>
      <c r="X30" s="49">
        <f t="shared" si="15"/>
        <v>0</v>
      </c>
      <c r="Y30" s="5"/>
    </row>
    <row r="31" spans="1:25" ht="12.75">
      <c r="A31" s="21">
        <v>12</v>
      </c>
      <c r="B31" s="14"/>
      <c r="C31" s="14"/>
      <c r="D31" s="14"/>
      <c r="E31" s="25"/>
      <c r="F31" s="24"/>
      <c r="G31" s="15">
        <f t="shared" si="0"/>
        <v>0</v>
      </c>
      <c r="H31" s="15">
        <f t="shared" si="1"/>
        <v>0</v>
      </c>
      <c r="I31" s="4"/>
      <c r="J31" s="45">
        <f t="shared" si="6"/>
        <v>10</v>
      </c>
      <c r="K31" s="2">
        <f t="shared" si="7"/>
        <v>0</v>
      </c>
      <c r="L31" s="4">
        <f t="shared" si="14"/>
        <v>0</v>
      </c>
      <c r="M31" s="38">
        <f t="shared" si="2"/>
        <v>0</v>
      </c>
      <c r="N31" s="2">
        <f t="shared" si="3"/>
        <v>0</v>
      </c>
      <c r="O31" s="2">
        <f t="shared" si="4"/>
        <v>0</v>
      </c>
      <c r="P31" s="4">
        <f t="shared" si="5"/>
        <v>0</v>
      </c>
      <c r="Q31" s="40">
        <f t="shared" si="8"/>
        <v>0</v>
      </c>
      <c r="R31" s="58">
        <f t="shared" si="9"/>
        <v>0</v>
      </c>
      <c r="S31" s="7">
        <f t="shared" si="10"/>
        <v>0</v>
      </c>
      <c r="T31" s="7">
        <f t="shared" si="11"/>
        <v>0</v>
      </c>
      <c r="U31" s="7">
        <f t="shared" si="12"/>
        <v>0</v>
      </c>
      <c r="V31" s="7">
        <f t="shared" si="13"/>
        <v>0</v>
      </c>
      <c r="W31" s="7">
        <f t="shared" si="16"/>
        <v>0</v>
      </c>
      <c r="X31" s="49">
        <f t="shared" si="15"/>
        <v>0</v>
      </c>
      <c r="Y31" s="5"/>
    </row>
    <row r="32" spans="1:25" ht="12.75">
      <c r="A32" s="21">
        <v>13</v>
      </c>
      <c r="B32" s="14"/>
      <c r="C32" s="14"/>
      <c r="D32" s="14"/>
      <c r="E32" s="25"/>
      <c r="F32" s="24"/>
      <c r="G32" s="15">
        <f t="shared" si="0"/>
        <v>0</v>
      </c>
      <c r="H32" s="15">
        <f t="shared" si="1"/>
        <v>0</v>
      </c>
      <c r="I32" s="4"/>
      <c r="J32" s="45">
        <f t="shared" si="6"/>
        <v>11</v>
      </c>
      <c r="K32" s="2">
        <f t="shared" si="7"/>
        <v>0</v>
      </c>
      <c r="L32" s="4">
        <f t="shared" si="14"/>
        <v>0</v>
      </c>
      <c r="M32" s="38">
        <f t="shared" si="2"/>
        <v>0</v>
      </c>
      <c r="N32" s="2">
        <f t="shared" si="3"/>
        <v>0</v>
      </c>
      <c r="O32" s="2">
        <f t="shared" si="4"/>
        <v>0</v>
      </c>
      <c r="P32" s="4">
        <f t="shared" si="5"/>
        <v>0</v>
      </c>
      <c r="Q32" s="40">
        <f t="shared" si="8"/>
        <v>0</v>
      </c>
      <c r="R32" s="58">
        <f t="shared" si="9"/>
        <v>0</v>
      </c>
      <c r="S32" s="7">
        <f t="shared" si="10"/>
        <v>0</v>
      </c>
      <c r="T32" s="7">
        <f t="shared" si="11"/>
        <v>0</v>
      </c>
      <c r="U32" s="7">
        <f t="shared" si="12"/>
        <v>0</v>
      </c>
      <c r="V32" s="7">
        <f t="shared" si="13"/>
        <v>0</v>
      </c>
      <c r="W32" s="7">
        <f t="shared" si="16"/>
        <v>0</v>
      </c>
      <c r="X32" s="49">
        <f t="shared" si="15"/>
        <v>0</v>
      </c>
      <c r="Y32" s="5"/>
    </row>
    <row r="33" spans="1:25" ht="12.75">
      <c r="A33" s="21">
        <v>14</v>
      </c>
      <c r="B33" s="14"/>
      <c r="C33" s="14"/>
      <c r="D33" s="14"/>
      <c r="E33" s="25"/>
      <c r="F33" s="24"/>
      <c r="G33" s="15">
        <f t="shared" si="0"/>
        <v>0</v>
      </c>
      <c r="H33" s="15">
        <f t="shared" si="1"/>
        <v>0</v>
      </c>
      <c r="I33" s="4"/>
      <c r="J33" s="45">
        <f t="shared" si="6"/>
        <v>12</v>
      </c>
      <c r="K33" s="2">
        <f t="shared" si="7"/>
        <v>0</v>
      </c>
      <c r="L33" s="4">
        <f t="shared" si="14"/>
        <v>0</v>
      </c>
      <c r="M33" s="38">
        <f t="shared" si="2"/>
        <v>0</v>
      </c>
      <c r="N33" s="2">
        <f t="shared" si="3"/>
        <v>0</v>
      </c>
      <c r="O33" s="2">
        <f t="shared" si="4"/>
        <v>0</v>
      </c>
      <c r="P33" s="4">
        <f t="shared" si="5"/>
        <v>0</v>
      </c>
      <c r="Q33" s="40">
        <f t="shared" si="8"/>
        <v>0</v>
      </c>
      <c r="R33" s="58">
        <f t="shared" si="9"/>
        <v>0</v>
      </c>
      <c r="S33" s="7">
        <f t="shared" si="10"/>
        <v>0</v>
      </c>
      <c r="T33" s="7">
        <f t="shared" si="11"/>
        <v>0</v>
      </c>
      <c r="U33" s="7">
        <f t="shared" si="12"/>
        <v>0</v>
      </c>
      <c r="V33" s="7">
        <f t="shared" si="13"/>
        <v>0</v>
      </c>
      <c r="W33" s="7">
        <f t="shared" si="16"/>
        <v>0</v>
      </c>
      <c r="X33" s="49">
        <f t="shared" si="15"/>
        <v>0</v>
      </c>
      <c r="Y33" s="5"/>
    </row>
    <row r="34" spans="1:25" ht="12.75">
      <c r="A34" s="21">
        <v>15</v>
      </c>
      <c r="B34" s="14"/>
      <c r="C34" s="14"/>
      <c r="D34" s="14"/>
      <c r="E34" s="25"/>
      <c r="F34" s="24"/>
      <c r="G34" s="15">
        <f t="shared" si="0"/>
        <v>0</v>
      </c>
      <c r="H34" s="15">
        <f t="shared" si="1"/>
        <v>0</v>
      </c>
      <c r="I34" s="4"/>
      <c r="J34" s="45">
        <f t="shared" si="6"/>
        <v>13</v>
      </c>
      <c r="K34" s="2">
        <f t="shared" si="7"/>
        <v>0</v>
      </c>
      <c r="L34" s="4">
        <f t="shared" si="14"/>
        <v>0</v>
      </c>
      <c r="M34" s="38">
        <f t="shared" si="2"/>
        <v>0</v>
      </c>
      <c r="N34" s="2">
        <f t="shared" si="3"/>
        <v>0</v>
      </c>
      <c r="O34" s="2">
        <f t="shared" si="4"/>
        <v>0</v>
      </c>
      <c r="P34" s="4">
        <f t="shared" si="5"/>
        <v>0</v>
      </c>
      <c r="Q34" s="40">
        <f t="shared" si="8"/>
        <v>0</v>
      </c>
      <c r="R34" s="58">
        <f t="shared" si="9"/>
        <v>0</v>
      </c>
      <c r="S34" s="7">
        <f t="shared" si="10"/>
        <v>0</v>
      </c>
      <c r="T34" s="7">
        <f t="shared" si="11"/>
        <v>0</v>
      </c>
      <c r="U34" s="7">
        <f t="shared" si="12"/>
        <v>0</v>
      </c>
      <c r="V34" s="7">
        <f t="shared" si="13"/>
        <v>0</v>
      </c>
      <c r="W34" s="7">
        <f t="shared" si="16"/>
        <v>0</v>
      </c>
      <c r="X34" s="49">
        <f t="shared" si="15"/>
        <v>0</v>
      </c>
      <c r="Y34" s="5"/>
    </row>
    <row r="35" spans="1:25" ht="12.75">
      <c r="A35" s="21">
        <v>16</v>
      </c>
      <c r="B35" s="14"/>
      <c r="C35" s="14"/>
      <c r="D35" s="14"/>
      <c r="E35" s="25"/>
      <c r="F35" s="24"/>
      <c r="G35" s="15">
        <f t="shared" si="0"/>
        <v>0</v>
      </c>
      <c r="H35" s="15">
        <f t="shared" si="1"/>
        <v>0</v>
      </c>
      <c r="I35" s="4"/>
      <c r="J35" s="45">
        <f t="shared" si="6"/>
        <v>14</v>
      </c>
      <c r="K35" s="2">
        <f t="shared" si="7"/>
        <v>0</v>
      </c>
      <c r="L35" s="4">
        <f t="shared" si="14"/>
        <v>0</v>
      </c>
      <c r="M35" s="38">
        <f t="shared" si="2"/>
        <v>0</v>
      </c>
      <c r="N35" s="2">
        <f t="shared" si="3"/>
        <v>0</v>
      </c>
      <c r="O35" s="2">
        <f t="shared" si="4"/>
        <v>0</v>
      </c>
      <c r="P35" s="4">
        <f t="shared" si="5"/>
        <v>0</v>
      </c>
      <c r="Q35" s="40">
        <f t="shared" si="8"/>
        <v>0</v>
      </c>
      <c r="R35" s="58">
        <f t="shared" si="9"/>
        <v>0</v>
      </c>
      <c r="S35" s="7">
        <f t="shared" si="10"/>
        <v>0</v>
      </c>
      <c r="T35" s="7">
        <f t="shared" si="11"/>
        <v>0</v>
      </c>
      <c r="U35" s="7">
        <f t="shared" si="12"/>
        <v>0</v>
      </c>
      <c r="V35" s="7">
        <f t="shared" si="13"/>
        <v>0</v>
      </c>
      <c r="W35" s="7">
        <f t="shared" si="16"/>
        <v>0</v>
      </c>
      <c r="X35" s="49">
        <f t="shared" si="15"/>
        <v>0</v>
      </c>
      <c r="Y35" s="5"/>
    </row>
    <row r="36" spans="1:25" ht="12.75">
      <c r="A36" s="21">
        <v>17</v>
      </c>
      <c r="B36" s="14"/>
      <c r="C36" s="14"/>
      <c r="D36" s="14"/>
      <c r="E36" s="25"/>
      <c r="F36" s="24"/>
      <c r="G36" s="15">
        <f t="shared" si="0"/>
        <v>0</v>
      </c>
      <c r="H36" s="15">
        <f t="shared" si="1"/>
        <v>0</v>
      </c>
      <c r="I36" s="4"/>
      <c r="J36" s="45">
        <f t="shared" si="6"/>
        <v>15</v>
      </c>
      <c r="K36" s="2">
        <f t="shared" si="7"/>
        <v>0</v>
      </c>
      <c r="L36" s="4">
        <f t="shared" si="14"/>
        <v>0</v>
      </c>
      <c r="M36" s="38">
        <f t="shared" si="2"/>
        <v>0</v>
      </c>
      <c r="N36" s="2">
        <f t="shared" si="3"/>
        <v>0</v>
      </c>
      <c r="O36" s="2">
        <f t="shared" si="4"/>
        <v>0</v>
      </c>
      <c r="P36" s="4">
        <f t="shared" si="5"/>
        <v>0</v>
      </c>
      <c r="Q36" s="40">
        <f t="shared" si="8"/>
        <v>0</v>
      </c>
      <c r="R36" s="58">
        <f t="shared" si="9"/>
        <v>0</v>
      </c>
      <c r="S36" s="7">
        <f t="shared" si="10"/>
        <v>0</v>
      </c>
      <c r="T36" s="7">
        <f t="shared" si="11"/>
        <v>0</v>
      </c>
      <c r="U36" s="7">
        <f t="shared" si="12"/>
        <v>0</v>
      </c>
      <c r="V36" s="7">
        <f t="shared" si="13"/>
        <v>0</v>
      </c>
      <c r="W36" s="7">
        <f t="shared" si="16"/>
        <v>0</v>
      </c>
      <c r="X36" s="49">
        <f t="shared" si="15"/>
        <v>0</v>
      </c>
      <c r="Y36" s="5"/>
    </row>
    <row r="37" spans="1:25" ht="12.75">
      <c r="A37" s="21">
        <v>18</v>
      </c>
      <c r="B37" s="14"/>
      <c r="C37" s="14"/>
      <c r="D37" s="14"/>
      <c r="E37" s="25"/>
      <c r="F37" s="24"/>
      <c r="G37" s="15">
        <f t="shared" si="0"/>
        <v>0</v>
      </c>
      <c r="H37" s="15">
        <f t="shared" si="1"/>
        <v>0</v>
      </c>
      <c r="I37" s="4"/>
      <c r="J37" s="45">
        <f t="shared" si="6"/>
        <v>16</v>
      </c>
      <c r="K37" s="2">
        <f t="shared" si="7"/>
        <v>0</v>
      </c>
      <c r="L37" s="4">
        <f t="shared" si="14"/>
        <v>0</v>
      </c>
      <c r="M37" s="38">
        <f t="shared" si="2"/>
        <v>0</v>
      </c>
      <c r="N37" s="2">
        <f t="shared" si="3"/>
        <v>0</v>
      </c>
      <c r="O37" s="2">
        <f t="shared" si="4"/>
        <v>0</v>
      </c>
      <c r="P37" s="4">
        <f t="shared" si="5"/>
        <v>0</v>
      </c>
      <c r="Q37" s="40">
        <f t="shared" si="8"/>
        <v>0</v>
      </c>
      <c r="R37" s="58">
        <f t="shared" si="9"/>
        <v>0</v>
      </c>
      <c r="S37" s="7">
        <f t="shared" si="10"/>
        <v>0</v>
      </c>
      <c r="T37" s="7">
        <f t="shared" si="11"/>
        <v>0</v>
      </c>
      <c r="U37" s="7">
        <f t="shared" si="12"/>
        <v>0</v>
      </c>
      <c r="V37" s="7">
        <f t="shared" si="13"/>
        <v>0</v>
      </c>
      <c r="W37" s="7">
        <f t="shared" si="16"/>
        <v>0</v>
      </c>
      <c r="X37" s="49">
        <f t="shared" si="15"/>
        <v>0</v>
      </c>
      <c r="Y37" s="5"/>
    </row>
    <row r="38" spans="1:25" ht="12.75">
      <c r="A38" s="21">
        <v>19</v>
      </c>
      <c r="B38" s="14"/>
      <c r="C38" s="14"/>
      <c r="D38" s="14"/>
      <c r="E38" s="24"/>
      <c r="F38" s="24"/>
      <c r="G38" s="15">
        <f t="shared" si="0"/>
        <v>0</v>
      </c>
      <c r="H38" s="15">
        <f t="shared" si="1"/>
        <v>0</v>
      </c>
      <c r="I38" s="4"/>
      <c r="J38" s="45">
        <f t="shared" si="6"/>
        <v>17</v>
      </c>
      <c r="K38" s="2">
        <f t="shared" si="7"/>
        <v>0</v>
      </c>
      <c r="L38" s="4">
        <f t="shared" si="14"/>
        <v>0</v>
      </c>
      <c r="M38" s="38">
        <f t="shared" si="2"/>
        <v>0</v>
      </c>
      <c r="N38" s="2">
        <f t="shared" si="3"/>
        <v>0</v>
      </c>
      <c r="O38" s="2">
        <f t="shared" si="4"/>
        <v>0</v>
      </c>
      <c r="P38" s="4">
        <f t="shared" si="5"/>
        <v>0</v>
      </c>
      <c r="Q38" s="40">
        <f t="shared" si="8"/>
        <v>0</v>
      </c>
      <c r="R38" s="58">
        <f t="shared" si="9"/>
        <v>0</v>
      </c>
      <c r="S38" s="7">
        <f t="shared" si="10"/>
        <v>0</v>
      </c>
      <c r="T38" s="7">
        <f t="shared" si="11"/>
        <v>0</v>
      </c>
      <c r="U38" s="7">
        <f t="shared" si="12"/>
        <v>0</v>
      </c>
      <c r="V38" s="7">
        <f t="shared" si="13"/>
        <v>0</v>
      </c>
      <c r="W38" s="7">
        <f t="shared" si="16"/>
        <v>0</v>
      </c>
      <c r="X38" s="49">
        <f t="shared" si="15"/>
        <v>0</v>
      </c>
      <c r="Y38" s="5"/>
    </row>
    <row r="39" spans="1:25" ht="12.75">
      <c r="A39" s="21">
        <v>20</v>
      </c>
      <c r="B39" s="14"/>
      <c r="C39" s="14"/>
      <c r="D39" s="14"/>
      <c r="E39" s="24"/>
      <c r="F39" s="24"/>
      <c r="G39" s="15">
        <f t="shared" si="0"/>
        <v>0</v>
      </c>
      <c r="H39" s="15">
        <f t="shared" si="1"/>
        <v>0</v>
      </c>
      <c r="I39" s="4"/>
      <c r="J39" s="45">
        <f t="shared" si="6"/>
        <v>18</v>
      </c>
      <c r="K39" s="2">
        <f t="shared" si="7"/>
        <v>0</v>
      </c>
      <c r="L39" s="4">
        <f t="shared" si="14"/>
        <v>0</v>
      </c>
      <c r="M39" s="38">
        <f t="shared" si="2"/>
        <v>0</v>
      </c>
      <c r="N39" s="2">
        <f t="shared" si="3"/>
        <v>0</v>
      </c>
      <c r="O39" s="2">
        <f t="shared" si="4"/>
        <v>0</v>
      </c>
      <c r="P39" s="4">
        <f t="shared" si="5"/>
        <v>0</v>
      </c>
      <c r="Q39" s="40">
        <f t="shared" si="8"/>
        <v>0</v>
      </c>
      <c r="R39" s="58">
        <f t="shared" si="9"/>
        <v>0</v>
      </c>
      <c r="S39" s="7">
        <f t="shared" si="10"/>
        <v>0</v>
      </c>
      <c r="T39" s="7">
        <f t="shared" si="11"/>
        <v>0</v>
      </c>
      <c r="U39" s="7">
        <f t="shared" si="12"/>
        <v>0</v>
      </c>
      <c r="V39" s="7">
        <f t="shared" si="13"/>
        <v>0</v>
      </c>
      <c r="W39" s="7">
        <f t="shared" si="16"/>
        <v>0</v>
      </c>
      <c r="X39" s="49">
        <f t="shared" si="15"/>
        <v>0</v>
      </c>
      <c r="Y39" s="5"/>
    </row>
    <row r="40" spans="1:25" ht="12.75">
      <c r="A40" s="21">
        <v>21</v>
      </c>
      <c r="B40" s="14"/>
      <c r="C40" s="14"/>
      <c r="D40" s="14"/>
      <c r="E40" s="24"/>
      <c r="F40" s="24"/>
      <c r="G40" s="15">
        <f t="shared" si="0"/>
        <v>0</v>
      </c>
      <c r="H40" s="15">
        <f t="shared" si="1"/>
        <v>0</v>
      </c>
      <c r="I40" s="4"/>
      <c r="J40" s="45">
        <f t="shared" si="6"/>
        <v>19</v>
      </c>
      <c r="K40" s="2">
        <f t="shared" si="7"/>
        <v>0</v>
      </c>
      <c r="L40" s="4">
        <f t="shared" si="14"/>
        <v>0</v>
      </c>
      <c r="M40" s="38">
        <f t="shared" si="2"/>
        <v>0</v>
      </c>
      <c r="N40" s="2">
        <f t="shared" si="3"/>
        <v>0</v>
      </c>
      <c r="O40" s="2">
        <f t="shared" si="4"/>
        <v>0</v>
      </c>
      <c r="P40" s="4">
        <f t="shared" si="5"/>
        <v>0</v>
      </c>
      <c r="Q40" s="40">
        <f t="shared" si="8"/>
        <v>0</v>
      </c>
      <c r="R40" s="58">
        <f t="shared" si="9"/>
        <v>0</v>
      </c>
      <c r="S40" s="7">
        <f t="shared" si="10"/>
        <v>0</v>
      </c>
      <c r="T40" s="7">
        <f t="shared" si="11"/>
        <v>0</v>
      </c>
      <c r="U40" s="7">
        <f t="shared" si="12"/>
        <v>0</v>
      </c>
      <c r="V40" s="7">
        <f t="shared" si="13"/>
        <v>0</v>
      </c>
      <c r="W40" s="7">
        <f t="shared" si="16"/>
        <v>0</v>
      </c>
      <c r="X40" s="49">
        <f t="shared" si="15"/>
        <v>0</v>
      </c>
      <c r="Y40" s="5"/>
    </row>
    <row r="41" spans="1:25" ht="12.75">
      <c r="A41" s="21">
        <v>22</v>
      </c>
      <c r="B41" s="14"/>
      <c r="C41" s="14"/>
      <c r="D41" s="14"/>
      <c r="E41" s="24"/>
      <c r="F41" s="24"/>
      <c r="G41" s="15">
        <f t="shared" si="0"/>
        <v>0</v>
      </c>
      <c r="H41" s="15">
        <f t="shared" si="1"/>
        <v>0</v>
      </c>
      <c r="I41" s="4"/>
      <c r="J41" s="45">
        <f t="shared" si="6"/>
        <v>20</v>
      </c>
      <c r="K41" s="2">
        <f t="shared" si="7"/>
        <v>0</v>
      </c>
      <c r="L41" s="4">
        <f t="shared" si="14"/>
        <v>0</v>
      </c>
      <c r="M41" s="38">
        <f t="shared" si="2"/>
        <v>0</v>
      </c>
      <c r="N41" s="2">
        <f t="shared" si="3"/>
        <v>0</v>
      </c>
      <c r="O41" s="2">
        <f t="shared" si="4"/>
        <v>0</v>
      </c>
      <c r="P41" s="4">
        <f t="shared" si="5"/>
        <v>0</v>
      </c>
      <c r="Q41" s="40">
        <f t="shared" si="8"/>
        <v>0</v>
      </c>
      <c r="R41" s="58">
        <f t="shared" si="9"/>
        <v>0</v>
      </c>
      <c r="S41" s="7">
        <f t="shared" si="10"/>
        <v>0</v>
      </c>
      <c r="T41" s="7">
        <f t="shared" si="11"/>
        <v>0</v>
      </c>
      <c r="U41" s="7">
        <f t="shared" si="12"/>
        <v>0</v>
      </c>
      <c r="V41" s="7">
        <f t="shared" si="13"/>
        <v>0</v>
      </c>
      <c r="W41" s="7">
        <f t="shared" si="16"/>
        <v>0</v>
      </c>
      <c r="X41" s="49">
        <f t="shared" si="15"/>
        <v>0</v>
      </c>
      <c r="Y41" s="5"/>
    </row>
    <row r="42" spans="1:25" ht="12.75">
      <c r="A42" s="21">
        <v>23</v>
      </c>
      <c r="B42" s="14"/>
      <c r="C42" s="14"/>
      <c r="D42" s="14"/>
      <c r="E42" s="24"/>
      <c r="F42" s="24"/>
      <c r="G42" s="15">
        <f t="shared" si="0"/>
        <v>0</v>
      </c>
      <c r="H42" s="15">
        <f t="shared" si="1"/>
        <v>0</v>
      </c>
      <c r="I42" s="4"/>
      <c r="J42" s="45">
        <f t="shared" si="6"/>
        <v>21</v>
      </c>
      <c r="K42" s="2">
        <f t="shared" si="7"/>
        <v>0</v>
      </c>
      <c r="L42" s="4">
        <f t="shared" si="14"/>
        <v>0</v>
      </c>
      <c r="M42" s="38">
        <f t="shared" si="2"/>
        <v>0</v>
      </c>
      <c r="N42" s="2">
        <f t="shared" si="3"/>
        <v>0</v>
      </c>
      <c r="O42" s="2">
        <f t="shared" si="4"/>
        <v>0</v>
      </c>
      <c r="P42" s="4">
        <f t="shared" si="5"/>
        <v>0</v>
      </c>
      <c r="Q42" s="40">
        <f t="shared" si="8"/>
        <v>0</v>
      </c>
      <c r="R42" s="58">
        <f t="shared" si="9"/>
        <v>0</v>
      </c>
      <c r="S42" s="7">
        <f t="shared" si="10"/>
        <v>0</v>
      </c>
      <c r="T42" s="7">
        <f t="shared" si="11"/>
        <v>0</v>
      </c>
      <c r="U42" s="7">
        <f t="shared" si="12"/>
        <v>0</v>
      </c>
      <c r="V42" s="7">
        <f t="shared" si="13"/>
        <v>0</v>
      </c>
      <c r="W42" s="7">
        <f t="shared" si="16"/>
        <v>0</v>
      </c>
      <c r="X42" s="49">
        <f t="shared" si="15"/>
        <v>0</v>
      </c>
      <c r="Y42" s="5"/>
    </row>
    <row r="43" spans="1:25" ht="12.75">
      <c r="A43" s="21">
        <v>24</v>
      </c>
      <c r="B43" s="14"/>
      <c r="C43" s="14"/>
      <c r="D43" s="14"/>
      <c r="E43" s="24"/>
      <c r="F43" s="24"/>
      <c r="G43" s="15">
        <f t="shared" si="0"/>
        <v>0</v>
      </c>
      <c r="H43" s="15">
        <f t="shared" si="1"/>
        <v>0</v>
      </c>
      <c r="I43" s="41"/>
      <c r="J43" s="45">
        <f t="shared" si="6"/>
        <v>22</v>
      </c>
      <c r="K43" s="2">
        <f t="shared" si="7"/>
        <v>0</v>
      </c>
      <c r="L43" s="4">
        <f t="shared" si="14"/>
        <v>0</v>
      </c>
      <c r="M43" s="38">
        <f t="shared" si="2"/>
        <v>0</v>
      </c>
      <c r="N43" s="2">
        <f t="shared" si="3"/>
        <v>0</v>
      </c>
      <c r="O43" s="2">
        <f t="shared" si="4"/>
        <v>0</v>
      </c>
      <c r="P43" s="4">
        <f t="shared" si="5"/>
        <v>0</v>
      </c>
      <c r="Q43" s="40">
        <f t="shared" si="8"/>
        <v>0</v>
      </c>
      <c r="R43" s="58">
        <f t="shared" si="9"/>
        <v>0</v>
      </c>
      <c r="S43" s="7">
        <f t="shared" si="10"/>
        <v>0</v>
      </c>
      <c r="T43" s="7">
        <f t="shared" si="11"/>
        <v>0</v>
      </c>
      <c r="U43" s="7">
        <f t="shared" si="12"/>
        <v>0</v>
      </c>
      <c r="V43" s="7">
        <f t="shared" si="13"/>
        <v>0</v>
      </c>
      <c r="W43" s="7">
        <f t="shared" si="16"/>
        <v>0</v>
      </c>
      <c r="X43" s="49">
        <f t="shared" si="15"/>
        <v>0</v>
      </c>
      <c r="Y43" s="5"/>
    </row>
    <row r="44" spans="1:25" ht="12.75">
      <c r="A44" s="21">
        <v>25</v>
      </c>
      <c r="B44" s="14"/>
      <c r="C44" s="14"/>
      <c r="D44" s="14"/>
      <c r="E44" s="24"/>
      <c r="F44" s="24"/>
      <c r="G44" s="15">
        <f t="shared" si="0"/>
        <v>0</v>
      </c>
      <c r="H44" s="15">
        <f t="shared" si="1"/>
        <v>0</v>
      </c>
      <c r="I44" s="4"/>
      <c r="J44" s="45">
        <f t="shared" si="6"/>
        <v>23</v>
      </c>
      <c r="K44" s="2">
        <f t="shared" si="7"/>
        <v>0</v>
      </c>
      <c r="L44" s="4">
        <f t="shared" si="14"/>
        <v>0</v>
      </c>
      <c r="M44" s="38">
        <f t="shared" si="2"/>
        <v>0</v>
      </c>
      <c r="N44" s="2">
        <f t="shared" si="3"/>
        <v>0</v>
      </c>
      <c r="O44" s="2">
        <f t="shared" si="4"/>
        <v>0</v>
      </c>
      <c r="P44" s="4">
        <f t="shared" si="5"/>
        <v>0</v>
      </c>
      <c r="Q44" s="40">
        <f t="shared" si="8"/>
        <v>0</v>
      </c>
      <c r="R44" s="58">
        <f t="shared" si="9"/>
        <v>0</v>
      </c>
      <c r="S44" s="7">
        <f t="shared" si="10"/>
        <v>0</v>
      </c>
      <c r="T44" s="7">
        <f t="shared" si="11"/>
        <v>0</v>
      </c>
      <c r="U44" s="7">
        <f t="shared" si="12"/>
        <v>0</v>
      </c>
      <c r="V44" s="7">
        <f t="shared" si="13"/>
        <v>0</v>
      </c>
      <c r="W44" s="7">
        <f t="shared" si="16"/>
        <v>0</v>
      </c>
      <c r="X44" s="49">
        <f t="shared" si="15"/>
        <v>0</v>
      </c>
      <c r="Y44" s="5"/>
    </row>
    <row r="45" spans="1:25" ht="12.75">
      <c r="A45" s="21">
        <v>26</v>
      </c>
      <c r="B45" s="14"/>
      <c r="C45" s="14"/>
      <c r="D45" s="14"/>
      <c r="E45" s="24"/>
      <c r="F45" s="24"/>
      <c r="G45" s="15">
        <f t="shared" si="0"/>
        <v>0</v>
      </c>
      <c r="H45" s="15">
        <f t="shared" si="1"/>
        <v>0</v>
      </c>
      <c r="I45" s="4"/>
      <c r="J45" s="45">
        <f t="shared" si="6"/>
        <v>24</v>
      </c>
      <c r="K45" s="2">
        <f t="shared" si="7"/>
        <v>0</v>
      </c>
      <c r="L45" s="4">
        <f t="shared" si="14"/>
        <v>0</v>
      </c>
      <c r="M45" s="38">
        <f t="shared" si="2"/>
        <v>0</v>
      </c>
      <c r="N45" s="2">
        <f t="shared" si="3"/>
        <v>0</v>
      </c>
      <c r="O45" s="2">
        <f t="shared" si="4"/>
        <v>0</v>
      </c>
      <c r="P45" s="4">
        <f t="shared" si="5"/>
        <v>0</v>
      </c>
      <c r="Q45" s="40">
        <f t="shared" si="8"/>
        <v>0</v>
      </c>
      <c r="R45" s="58">
        <f t="shared" si="9"/>
        <v>0</v>
      </c>
      <c r="S45" s="7">
        <f t="shared" si="10"/>
        <v>0</v>
      </c>
      <c r="T45" s="7">
        <f t="shared" si="11"/>
        <v>0</v>
      </c>
      <c r="U45" s="7">
        <f t="shared" si="12"/>
        <v>0</v>
      </c>
      <c r="V45" s="7">
        <f t="shared" si="13"/>
        <v>0</v>
      </c>
      <c r="W45" s="7">
        <f t="shared" si="16"/>
        <v>0</v>
      </c>
      <c r="X45" s="49">
        <f t="shared" si="15"/>
        <v>0</v>
      </c>
      <c r="Y45" s="5"/>
    </row>
    <row r="46" spans="1:25" ht="12.75">
      <c r="A46" s="21">
        <v>27</v>
      </c>
      <c r="B46" s="14"/>
      <c r="C46" s="14"/>
      <c r="D46" s="14"/>
      <c r="E46" s="24"/>
      <c r="F46" s="24"/>
      <c r="G46" s="15">
        <f t="shared" si="0"/>
        <v>0</v>
      </c>
      <c r="H46" s="15">
        <f t="shared" si="1"/>
        <v>0</v>
      </c>
      <c r="I46" s="4"/>
      <c r="J46" s="45">
        <f t="shared" si="6"/>
        <v>25</v>
      </c>
      <c r="K46" s="2">
        <f t="shared" si="7"/>
        <v>0</v>
      </c>
      <c r="L46" s="4">
        <f t="shared" si="14"/>
        <v>0</v>
      </c>
      <c r="M46" s="38">
        <f t="shared" si="2"/>
        <v>0</v>
      </c>
      <c r="N46" s="2">
        <f t="shared" si="3"/>
        <v>0</v>
      </c>
      <c r="O46" s="2">
        <f t="shared" si="4"/>
        <v>0</v>
      </c>
      <c r="P46" s="4">
        <f t="shared" si="5"/>
        <v>0</v>
      </c>
      <c r="Q46" s="40">
        <f t="shared" si="8"/>
        <v>0</v>
      </c>
      <c r="R46" s="58">
        <f t="shared" si="9"/>
        <v>0</v>
      </c>
      <c r="S46" s="7">
        <f t="shared" si="10"/>
        <v>0</v>
      </c>
      <c r="T46" s="7">
        <f t="shared" si="11"/>
        <v>0</v>
      </c>
      <c r="U46" s="7">
        <f t="shared" si="12"/>
        <v>0</v>
      </c>
      <c r="V46" s="7">
        <f t="shared" si="13"/>
        <v>0</v>
      </c>
      <c r="W46" s="7">
        <f t="shared" si="16"/>
        <v>0</v>
      </c>
      <c r="X46" s="49">
        <f t="shared" si="15"/>
        <v>0</v>
      </c>
      <c r="Y46" s="5"/>
    </row>
    <row r="47" spans="1:25" ht="12.75">
      <c r="A47" s="21">
        <v>28</v>
      </c>
      <c r="B47" s="14"/>
      <c r="C47" s="14"/>
      <c r="D47" s="14"/>
      <c r="E47" s="24"/>
      <c r="F47" s="24"/>
      <c r="G47" s="15">
        <f t="shared" si="0"/>
        <v>0</v>
      </c>
      <c r="H47" s="15">
        <f t="shared" si="1"/>
        <v>0</v>
      </c>
      <c r="I47" s="4"/>
      <c r="J47" s="45">
        <f t="shared" si="6"/>
        <v>26</v>
      </c>
      <c r="K47" s="2">
        <f t="shared" si="7"/>
        <v>0</v>
      </c>
      <c r="L47" s="4">
        <f t="shared" si="14"/>
        <v>0</v>
      </c>
      <c r="M47" s="38">
        <f t="shared" si="2"/>
        <v>0</v>
      </c>
      <c r="N47" s="2">
        <f t="shared" si="3"/>
        <v>0</v>
      </c>
      <c r="O47" s="2">
        <f t="shared" si="4"/>
        <v>0</v>
      </c>
      <c r="P47" s="4">
        <f t="shared" si="5"/>
        <v>0</v>
      </c>
      <c r="Q47" s="40">
        <f t="shared" si="8"/>
        <v>0</v>
      </c>
      <c r="R47" s="58">
        <f t="shared" si="9"/>
        <v>0</v>
      </c>
      <c r="S47" s="7">
        <f t="shared" si="10"/>
        <v>0</v>
      </c>
      <c r="T47" s="7">
        <f t="shared" si="11"/>
        <v>0</v>
      </c>
      <c r="U47" s="7">
        <f t="shared" si="12"/>
        <v>0</v>
      </c>
      <c r="V47" s="7">
        <f t="shared" si="13"/>
        <v>0</v>
      </c>
      <c r="W47" s="7">
        <f t="shared" si="16"/>
        <v>0</v>
      </c>
      <c r="X47" s="49">
        <f t="shared" si="15"/>
        <v>0</v>
      </c>
      <c r="Y47" s="5"/>
    </row>
    <row r="48" spans="1:25" ht="12.75">
      <c r="A48" s="21">
        <v>29</v>
      </c>
      <c r="B48" s="14"/>
      <c r="C48" s="14"/>
      <c r="D48" s="14"/>
      <c r="E48" s="24"/>
      <c r="F48" s="24"/>
      <c r="G48" s="15">
        <f t="shared" si="0"/>
        <v>0</v>
      </c>
      <c r="H48" s="15">
        <f t="shared" si="1"/>
        <v>0</v>
      </c>
      <c r="I48" s="4"/>
      <c r="J48" s="45">
        <f t="shared" si="6"/>
        <v>27</v>
      </c>
      <c r="K48" s="2">
        <f t="shared" si="7"/>
        <v>0</v>
      </c>
      <c r="L48" s="4">
        <f t="shared" si="14"/>
        <v>0</v>
      </c>
      <c r="M48" s="38">
        <f t="shared" si="2"/>
        <v>0</v>
      </c>
      <c r="N48" s="2">
        <f t="shared" si="3"/>
        <v>0</v>
      </c>
      <c r="O48" s="2">
        <f t="shared" si="4"/>
        <v>0</v>
      </c>
      <c r="P48" s="4">
        <f t="shared" si="5"/>
        <v>0</v>
      </c>
      <c r="Q48" s="40">
        <f t="shared" si="8"/>
        <v>0</v>
      </c>
      <c r="R48" s="58">
        <f t="shared" si="9"/>
        <v>0</v>
      </c>
      <c r="S48" s="7">
        <f t="shared" si="10"/>
        <v>0</v>
      </c>
      <c r="T48" s="7">
        <f t="shared" si="11"/>
        <v>0</v>
      </c>
      <c r="U48" s="7">
        <f t="shared" si="12"/>
        <v>0</v>
      </c>
      <c r="V48" s="7">
        <f t="shared" si="13"/>
        <v>0</v>
      </c>
      <c r="W48" s="7">
        <f t="shared" si="16"/>
        <v>0</v>
      </c>
      <c r="X48" s="49">
        <f t="shared" si="15"/>
        <v>0</v>
      </c>
      <c r="Y48" s="5"/>
    </row>
    <row r="49" spans="1:25" ht="12.75">
      <c r="A49" s="3" t="s">
        <v>6</v>
      </c>
      <c r="I49" s="4"/>
      <c r="J49" s="45">
        <f t="shared" si="6"/>
        <v>28</v>
      </c>
      <c r="K49" s="2">
        <f t="shared" si="7"/>
        <v>0</v>
      </c>
      <c r="L49" s="4">
        <f t="shared" si="14"/>
        <v>0</v>
      </c>
      <c r="M49" s="38">
        <f t="shared" si="2"/>
        <v>0</v>
      </c>
      <c r="N49" s="2">
        <f t="shared" si="3"/>
        <v>0</v>
      </c>
      <c r="O49" s="2">
        <f t="shared" si="4"/>
        <v>0</v>
      </c>
      <c r="P49" s="4">
        <f t="shared" si="5"/>
        <v>0</v>
      </c>
      <c r="Q49" s="40">
        <f t="shared" si="8"/>
        <v>0</v>
      </c>
      <c r="R49" s="58">
        <f t="shared" si="9"/>
        <v>0</v>
      </c>
      <c r="S49" s="7">
        <f t="shared" si="10"/>
        <v>0</v>
      </c>
      <c r="T49" s="7">
        <f t="shared" si="11"/>
        <v>0</v>
      </c>
      <c r="U49" s="7">
        <f t="shared" si="12"/>
        <v>0</v>
      </c>
      <c r="V49" s="7">
        <f t="shared" si="13"/>
        <v>0</v>
      </c>
      <c r="W49" s="7">
        <f t="shared" si="16"/>
        <v>0</v>
      </c>
      <c r="X49" s="49">
        <f t="shared" si="15"/>
        <v>0</v>
      </c>
      <c r="Y49" s="5"/>
    </row>
    <row r="50" spans="1:25" ht="13.5" thickBot="1">
      <c r="A50" s="14"/>
      <c r="B50" s="14"/>
      <c r="C50" s="14"/>
      <c r="D50" s="14"/>
      <c r="E50" s="14"/>
      <c r="F50" s="14"/>
      <c r="G50" s="14"/>
      <c r="H50" s="14"/>
      <c r="I50" s="4"/>
      <c r="J50" s="50">
        <f t="shared" si="6"/>
        <v>29</v>
      </c>
      <c r="K50" s="6">
        <f t="shared" si="7"/>
        <v>0</v>
      </c>
      <c r="L50" s="4">
        <f t="shared" si="14"/>
        <v>0</v>
      </c>
      <c r="M50" s="51">
        <f t="shared" si="2"/>
        <v>0</v>
      </c>
      <c r="N50" s="6">
        <f t="shared" si="3"/>
        <v>0</v>
      </c>
      <c r="O50" s="6">
        <f t="shared" si="4"/>
        <v>0</v>
      </c>
      <c r="P50" s="41">
        <f t="shared" si="5"/>
        <v>0</v>
      </c>
      <c r="Q50" s="40">
        <f t="shared" si="8"/>
        <v>0</v>
      </c>
      <c r="R50" s="58">
        <f t="shared" si="9"/>
        <v>0</v>
      </c>
      <c r="S50" s="7">
        <f t="shared" si="10"/>
        <v>0</v>
      </c>
      <c r="T50" s="7">
        <f t="shared" si="11"/>
        <v>0</v>
      </c>
      <c r="U50" s="7">
        <f t="shared" si="12"/>
        <v>0</v>
      </c>
      <c r="V50" s="7">
        <f t="shared" si="13"/>
        <v>0</v>
      </c>
      <c r="W50" s="7">
        <f t="shared" si="16"/>
        <v>0</v>
      </c>
      <c r="X50" s="49">
        <f t="shared" si="15"/>
        <v>0</v>
      </c>
      <c r="Y50" s="5"/>
    </row>
    <row r="51" spans="1:25" ht="13.5" thickBot="1">
      <c r="A51" s="14"/>
      <c r="B51" s="14"/>
      <c r="C51" s="14"/>
      <c r="D51" s="14"/>
      <c r="E51" s="14"/>
      <c r="F51" s="14"/>
      <c r="G51" s="14"/>
      <c r="H51" s="14"/>
      <c r="I51" s="4"/>
      <c r="J51" s="52" t="s">
        <v>44</v>
      </c>
      <c r="K51" s="53"/>
      <c r="L51" s="54"/>
      <c r="M51" s="52">
        <f aca="true" t="shared" si="17" ref="M51:S51">SUM(M21:M50)</f>
        <v>18.54400526375875</v>
      </c>
      <c r="N51" s="53">
        <f t="shared" si="17"/>
        <v>258.2598053783617</v>
      </c>
      <c r="O51" s="53">
        <f t="shared" si="17"/>
        <v>129157.00000260364</v>
      </c>
      <c r="P51" s="54">
        <f t="shared" si="17"/>
        <v>768845.6873929033</v>
      </c>
      <c r="Q51" s="52"/>
      <c r="R51" s="59">
        <f t="shared" si="17"/>
        <v>-0.025217016697736842</v>
      </c>
      <c r="S51" s="53">
        <f t="shared" si="17"/>
        <v>4</v>
      </c>
      <c r="T51" s="53">
        <f>SUM(T21:T50)</f>
        <v>-526.1354198080932</v>
      </c>
      <c r="U51" s="53">
        <f>SUM(U21:U50)</f>
        <v>22111595.26287626</v>
      </c>
      <c r="V51" s="53">
        <f>SUM(V21:V50)</f>
        <v>5418399.647376969</v>
      </c>
      <c r="W51" s="53">
        <f>SUM(W21:W50)</f>
        <v>276.8038106421205</v>
      </c>
      <c r="X51" s="55">
        <f>SUM(X21:X50)</f>
        <v>898002.6873955068</v>
      </c>
      <c r="Y51" s="5"/>
    </row>
    <row r="52" spans="1:25" ht="12.75">
      <c r="A52" s="14"/>
      <c r="B52" s="14"/>
      <c r="C52" s="14"/>
      <c r="D52" s="14"/>
      <c r="E52" s="14"/>
      <c r="F52" s="14"/>
      <c r="G52" s="14"/>
      <c r="H52" s="14"/>
      <c r="I52" s="4"/>
      <c r="J52" s="62" t="str">
        <f>IF(S55=1,"Tot cases:","Tot exposed:")</f>
        <v>Tot cases:</v>
      </c>
      <c r="K52" s="81">
        <f>SUM(G19:G48)</f>
        <v>276.8038106421205</v>
      </c>
      <c r="L52" s="62" t="s">
        <v>36</v>
      </c>
      <c r="M52" s="7"/>
      <c r="N52" s="7"/>
      <c r="P52" s="4"/>
      <c r="Q52" s="62"/>
      <c r="R52" s="7"/>
      <c r="S52" s="65" t="s">
        <v>38</v>
      </c>
      <c r="T52" s="62"/>
      <c r="U52" s="32"/>
      <c r="V52" s="32"/>
      <c r="W52" s="84" t="s">
        <v>39</v>
      </c>
      <c r="X52" s="81"/>
      <c r="Y52" s="5"/>
    </row>
    <row r="53" spans="1:25" ht="12.75">
      <c r="A53" s="14"/>
      <c r="B53" s="14"/>
      <c r="C53" s="14"/>
      <c r="D53" s="14"/>
      <c r="E53" s="14"/>
      <c r="F53" s="14"/>
      <c r="G53" s="14"/>
      <c r="H53" s="14"/>
      <c r="I53" s="4"/>
      <c r="J53" s="63" t="str">
        <f>IF(S55=1,IF($N$55=1,"Tot cntrls:","Tot at risk:"),"Tot unexp:")</f>
        <v>Tot cntrls:</v>
      </c>
      <c r="K53" s="82">
        <f>SUM(H19:H48)</f>
        <v>898002.6873955068</v>
      </c>
      <c r="L53" s="63"/>
      <c r="M53" s="8">
        <v>1</v>
      </c>
      <c r="N53" s="2" t="s">
        <v>13</v>
      </c>
      <c r="P53" s="4"/>
      <c r="Q53" s="64">
        <v>1</v>
      </c>
      <c r="R53" s="2" t="s">
        <v>17</v>
      </c>
      <c r="S53" s="4"/>
      <c r="T53" s="71"/>
      <c r="U53" s="68"/>
      <c r="V53" s="68"/>
      <c r="W53" s="72" t="s">
        <v>52</v>
      </c>
      <c r="X53" s="83">
        <f>SUM(W51:X51)</f>
        <v>898279.4912061489</v>
      </c>
      <c r="Y53" s="5"/>
    </row>
    <row r="54" spans="1:25" ht="12.75">
      <c r="A54" s="14"/>
      <c r="B54" s="14"/>
      <c r="C54" s="14"/>
      <c r="D54" s="14"/>
      <c r="E54" s="14"/>
      <c r="F54" s="14"/>
      <c r="G54" s="14"/>
      <c r="H54" s="14"/>
      <c r="I54" s="4"/>
      <c r="J54" s="63" t="s">
        <v>10</v>
      </c>
      <c r="K54" s="82">
        <f>IF(N55=1,(1/M51)+(1/N51)+(1/O51)+(1/P51),IF(S55=1,(1/M51)+(1/N51)-(1/O51)-(1/P51),-(1/G19)+(1/N51)-(1/H19)+(1/P51)))</f>
        <v>0.05780689578814886</v>
      </c>
      <c r="L54" s="63"/>
      <c r="M54" s="2">
        <v>2</v>
      </c>
      <c r="N54" s="2" t="s">
        <v>14</v>
      </c>
      <c r="P54" s="4"/>
      <c r="Q54" s="63">
        <v>2</v>
      </c>
      <c r="R54" s="2" t="s">
        <v>18</v>
      </c>
      <c r="S54" s="4"/>
      <c r="T54" s="89"/>
      <c r="U54" s="86"/>
      <c r="V54" s="88" t="s">
        <v>22</v>
      </c>
      <c r="W54" s="86">
        <f>((V55-V56)/V55)^2+((X55-X56)/X55)^2</f>
        <v>0.2219803292929193</v>
      </c>
      <c r="X54" s="87"/>
      <c r="Y54" s="5"/>
    </row>
    <row r="55" spans="1:25" ht="12.75">
      <c r="A55" s="14"/>
      <c r="B55" s="14"/>
      <c r="C55" s="14"/>
      <c r="D55" s="14"/>
      <c r="E55" s="14"/>
      <c r="F55" s="14"/>
      <c r="G55" s="14"/>
      <c r="H55" s="14"/>
      <c r="I55" s="4"/>
      <c r="J55" s="63" t="s">
        <v>11</v>
      </c>
      <c r="K55" s="82">
        <f>LN(B5)-(1.96*SQRT(K54))</f>
        <v>0.3787138740476225</v>
      </c>
      <c r="L55" s="67" t="s">
        <v>37</v>
      </c>
      <c r="M55" s="68"/>
      <c r="N55" s="69">
        <v>1</v>
      </c>
      <c r="O55" s="68"/>
      <c r="P55" s="70"/>
      <c r="Q55" s="71"/>
      <c r="R55" s="72" t="s">
        <v>30</v>
      </c>
      <c r="S55" s="73">
        <v>1</v>
      </c>
      <c r="T55" s="66" t="s">
        <v>47</v>
      </c>
      <c r="U55" s="7" t="s">
        <v>48</v>
      </c>
      <c r="V55" s="7">
        <f>D14/D16</f>
        <v>0.16974575658608068</v>
      </c>
      <c r="W55" s="7" t="s">
        <v>49</v>
      </c>
      <c r="X55" s="85">
        <f>D16/C16</f>
        <v>5852.961538461538</v>
      </c>
      <c r="Y55" s="5"/>
    </row>
    <row r="56" spans="1:25" ht="12.75">
      <c r="A56" s="14"/>
      <c r="B56" s="14"/>
      <c r="C56" s="14"/>
      <c r="D56" s="14"/>
      <c r="E56" s="14"/>
      <c r="F56" s="14"/>
      <c r="G56" s="14"/>
      <c r="H56" s="14"/>
      <c r="I56" s="4"/>
      <c r="J56" s="71" t="s">
        <v>9</v>
      </c>
      <c r="K56" s="83">
        <f>LN(B5)+(1.96*SQRT(K54))</f>
        <v>1.3212020084233347</v>
      </c>
      <c r="L56" s="74"/>
      <c r="M56" s="75"/>
      <c r="N56" s="75"/>
      <c r="O56" s="75"/>
      <c r="P56" s="76" t="s">
        <v>46</v>
      </c>
      <c r="Q56" s="77">
        <v>4</v>
      </c>
      <c r="R56" s="78"/>
      <c r="S56" s="79"/>
      <c r="T56" s="71" t="s">
        <v>53</v>
      </c>
      <c r="U56" s="68" t="s">
        <v>50</v>
      </c>
      <c r="V56" s="68">
        <f>H19/K53</f>
        <v>0.14382696378916193</v>
      </c>
      <c r="W56" s="68" t="s">
        <v>51</v>
      </c>
      <c r="X56" s="83">
        <f>K53/K52</f>
        <v>3244.184700031222</v>
      </c>
      <c r="Y56" s="5"/>
    </row>
    <row r="57" spans="10:24" ht="12.75">
      <c r="J57" s="80"/>
      <c r="K57" s="7"/>
      <c r="L57" s="7"/>
      <c r="M57" s="7"/>
      <c r="N57" s="58"/>
      <c r="O57" s="7"/>
      <c r="P57" s="7"/>
      <c r="Q57" s="7"/>
      <c r="R57" s="7"/>
      <c r="S57" s="7"/>
      <c r="T57" s="7"/>
      <c r="U57" s="7"/>
      <c r="V57" s="7"/>
      <c r="W57" s="7"/>
      <c r="X57" s="7"/>
    </row>
    <row r="60" ht="12.75">
      <c r="J60" s="9"/>
    </row>
    <row r="61" spans="10:14" ht="12.75">
      <c r="J61" s="9"/>
      <c r="N61" s="5"/>
    </row>
    <row r="62" spans="11:13" ht="12.75">
      <c r="K62" s="7"/>
      <c r="L62" s="7"/>
      <c r="M62" s="7"/>
    </row>
  </sheetData>
  <sheetProtection sheet="1" objects="1" scenarios="1" selectLockedCells="1"/>
  <dataValidations count="3">
    <dataValidation type="decimal" operator="greaterThanOrEqual" allowBlank="1" showInputMessage="1" showErrorMessage="1" errorTitle="Invalid value" error="Enter a numeric value or leave blank. If &lt;space&gt; character entered, press Delete." sqref="B20:D48">
      <formula1>0</formula1>
    </dataValidation>
    <dataValidation type="whole" allowBlank="1" showInputMessage="1" showErrorMessage="1" errorTitle="Invalid value" error="Enter 0, 1 or -1; or leave blank. If &lt;space&gt; character entered, press Delete." sqref="E19:E48">
      <formula1>-1</formula1>
      <formula2>1</formula2>
    </dataValidation>
    <dataValidation type="decimal" allowBlank="1" showInputMessage="1" showErrorMessage="1" errorTitle="Invalid value" error="Enter a dose value (numeric) or leave blank. If &lt;space&gt; character entered, press Delete." sqref="F19:F48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95" r:id="rId2"/>
  <colBreaks count="1" manualBreakCount="1">
    <brk id="9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9.140625" style="92" customWidth="1"/>
    <col min="3" max="3" width="14.00390625" style="92" customWidth="1"/>
    <col min="4" max="4" width="12.00390625" style="92" customWidth="1"/>
    <col min="5" max="5" width="13.57421875" style="92" customWidth="1"/>
    <col min="6" max="16384" width="9.140625" style="92" customWidth="1"/>
  </cols>
  <sheetData>
    <row r="1" spans="1:5" ht="12.75">
      <c r="A1" s="91" t="s">
        <v>58</v>
      </c>
      <c r="E1" s="92" t="s">
        <v>63</v>
      </c>
    </row>
    <row r="2" spans="1:5" ht="12.75">
      <c r="A2" s="91"/>
      <c r="B2" s="94" t="s">
        <v>60</v>
      </c>
      <c r="C2" s="94" t="s">
        <v>59</v>
      </c>
      <c r="D2" s="94" t="s">
        <v>61</v>
      </c>
      <c r="E2" s="95" t="s">
        <v>62</v>
      </c>
    </row>
    <row r="3" spans="2:5" ht="12.75">
      <c r="B3" s="93">
        <v>1</v>
      </c>
      <c r="C3" s="93">
        <v>0.0001</v>
      </c>
      <c r="D3" s="97">
        <v>6</v>
      </c>
      <c r="E3" s="97">
        <f>D3+2</f>
        <v>8</v>
      </c>
    </row>
    <row r="4" spans="2:3" ht="12.75">
      <c r="B4" s="92">
        <v>2</v>
      </c>
      <c r="C4" s="92">
        <v>1E-05</v>
      </c>
    </row>
    <row r="5" spans="2:3" ht="12.75">
      <c r="B5" s="92">
        <v>3</v>
      </c>
      <c r="C5" s="92">
        <v>1E-06</v>
      </c>
    </row>
    <row r="6" spans="2:3" ht="12.75">
      <c r="B6" s="92">
        <v>4</v>
      </c>
      <c r="C6" s="92">
        <v>1E-07</v>
      </c>
    </row>
    <row r="7" spans="2:3" ht="12.75">
      <c r="B7" s="92">
        <v>5</v>
      </c>
      <c r="C7" s="92">
        <v>1E-08</v>
      </c>
    </row>
    <row r="8" spans="2:3" ht="12.75">
      <c r="B8" s="92">
        <v>6</v>
      </c>
      <c r="C8" s="92">
        <v>1E-09</v>
      </c>
    </row>
    <row r="9" spans="2:3" ht="12.75">
      <c r="B9" s="92">
        <v>7</v>
      </c>
      <c r="C9" s="92">
        <v>1E-10</v>
      </c>
    </row>
    <row r="10" spans="2:3" ht="12.75">
      <c r="B10" s="92">
        <v>8</v>
      </c>
      <c r="C10" s="92">
        <v>1E-11</v>
      </c>
    </row>
    <row r="11" spans="2:3" ht="12.75">
      <c r="B11" s="92">
        <v>9</v>
      </c>
      <c r="C11" s="92">
        <v>1E-12</v>
      </c>
    </row>
    <row r="12" spans="2:3" ht="12.75">
      <c r="B12" s="92">
        <v>10</v>
      </c>
      <c r="C12" s="92">
        <v>1E-13</v>
      </c>
    </row>
    <row r="19" spans="7:8" ht="12.75">
      <c r="G19" s="92">
        <v>0</v>
      </c>
      <c r="H19" s="92"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</dc:creator>
  <cp:keywords/>
  <dc:description/>
  <cp:lastModifiedBy>Jan Hamling</cp:lastModifiedBy>
  <cp:lastPrinted>2006-12-01T15:21:00Z</cp:lastPrinted>
  <dcterms:created xsi:type="dcterms:W3CDTF">2003-01-17T09:41:47Z</dcterms:created>
  <dcterms:modified xsi:type="dcterms:W3CDTF">2012-03-21T15:03:55Z</dcterms:modified>
  <cp:category/>
  <cp:version/>
  <cp:contentType/>
  <cp:contentStatus/>
</cp:coreProperties>
</file>